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22980" windowHeight="9555"/>
  </bookViews>
  <sheets>
    <sheet name="GERF JEs" sheetId="4" r:id="rId1"/>
    <sheet name="Year 2 T-Accounts" sheetId="5" r:id="rId2"/>
    <sheet name="Change in Prop Calculation" sheetId="3" r:id="rId3"/>
    <sheet name="GERF Tiered Amortization" sheetId="2" r:id="rId4"/>
    <sheet name="Footnote Disclosure" sheetId="8" r:id="rId5"/>
  </sheets>
  <calcPr calcId="145621"/>
</workbook>
</file>

<file path=xl/calcChain.xml><?xml version="1.0" encoding="utf-8"?>
<calcChain xmlns="http://schemas.openxmlformats.org/spreadsheetml/2006/main">
  <c r="B63" i="4" l="1"/>
  <c r="C8" i="8"/>
  <c r="L44" i="2" l="1"/>
  <c r="L11" i="5" l="1"/>
  <c r="G11" i="5"/>
  <c r="B64" i="4"/>
  <c r="E8" i="8" l="1"/>
  <c r="E6" i="8"/>
  <c r="C7" i="8"/>
  <c r="C6" i="8"/>
  <c r="U29" i="2" l="1"/>
  <c r="R29" i="2"/>
  <c r="O29" i="2"/>
  <c r="L29" i="2"/>
  <c r="O22" i="3" l="1"/>
  <c r="L22" i="3"/>
  <c r="B65" i="4" l="1"/>
  <c r="B19" i="5" l="1"/>
  <c r="O21" i="3" l="1"/>
  <c r="L21" i="3"/>
  <c r="L14" i="2" l="1"/>
  <c r="N20" i="2"/>
  <c r="L20" i="2"/>
  <c r="K20" i="2"/>
  <c r="R11" i="2"/>
  <c r="O11" i="2"/>
  <c r="N11" i="2"/>
  <c r="Q11" i="2" s="1"/>
  <c r="L11" i="2"/>
  <c r="N29" i="2"/>
  <c r="Q29" i="2" s="1"/>
  <c r="T29" i="2" s="1"/>
  <c r="Q20" i="2" l="1"/>
  <c r="O20" i="2"/>
  <c r="R20" i="2" s="1"/>
  <c r="C20" i="8" l="1"/>
  <c r="U40" i="2" l="1"/>
  <c r="C11" i="5" l="1"/>
  <c r="I8" i="3" l="1"/>
  <c r="I9" i="3"/>
  <c r="I7" i="3"/>
  <c r="F8" i="3"/>
  <c r="F9" i="3"/>
  <c r="F7" i="3"/>
  <c r="O8" i="3" l="1"/>
  <c r="O9" i="3"/>
  <c r="L7" i="3"/>
  <c r="E40" i="4"/>
  <c r="O10" i="3" l="1"/>
  <c r="L10" i="3"/>
  <c r="L11" i="3"/>
  <c r="F37" i="2" s="1"/>
  <c r="K37" i="2" l="1"/>
  <c r="L12" i="3"/>
  <c r="L14" i="3"/>
  <c r="L15" i="3"/>
  <c r="O12" i="3"/>
  <c r="N37" i="2" l="1"/>
  <c r="Q37" i="2" s="1"/>
  <c r="L37" i="2"/>
  <c r="D36" i="4"/>
  <c r="E30" i="4"/>
  <c r="C11" i="8" l="1"/>
  <c r="E9" i="8"/>
  <c r="L40" i="2"/>
  <c r="L45" i="2" s="1"/>
  <c r="O37" i="2"/>
  <c r="F10" i="2"/>
  <c r="K10" i="2" s="1"/>
  <c r="F28" i="2"/>
  <c r="K28" i="2" s="1"/>
  <c r="F18" i="2"/>
  <c r="H18" i="2" s="1"/>
  <c r="F9" i="2"/>
  <c r="F27" i="2"/>
  <c r="H27" i="2" s="1"/>
  <c r="K27" i="2"/>
  <c r="U23" i="2"/>
  <c r="T23" i="2"/>
  <c r="I23" i="2"/>
  <c r="D32" i="4"/>
  <c r="D25" i="4"/>
  <c r="C20" i="4"/>
  <c r="C21" i="4"/>
  <c r="E26" i="4" l="1"/>
  <c r="N28" i="2"/>
  <c r="N10" i="2"/>
  <c r="AA10" i="2" s="1"/>
  <c r="N27" i="2"/>
  <c r="Q27" i="2" s="1"/>
  <c r="T27" i="2" s="1"/>
  <c r="R37" i="2"/>
  <c r="O40" i="2"/>
  <c r="Q10" i="2"/>
  <c r="T10" i="2" s="1"/>
  <c r="T14" i="2" s="1"/>
  <c r="O28" i="2"/>
  <c r="N18" i="2"/>
  <c r="N23" i="2" s="1"/>
  <c r="H23" i="2"/>
  <c r="Q18" i="2"/>
  <c r="Q23" i="2" s="1"/>
  <c r="K18" i="2"/>
  <c r="AA18" i="2" s="1"/>
  <c r="L27" i="2"/>
  <c r="H9" i="2"/>
  <c r="K9" i="2" l="1"/>
  <c r="AA27" i="2"/>
  <c r="Q28" i="2"/>
  <c r="T28" i="2" s="1"/>
  <c r="W28" i="2" s="1"/>
  <c r="W32" i="2" s="1"/>
  <c r="W43" i="2" s="1"/>
  <c r="O10" i="2"/>
  <c r="R10" i="2"/>
  <c r="U10" i="2" s="1"/>
  <c r="T37" i="2"/>
  <c r="R40" i="2"/>
  <c r="R28" i="2"/>
  <c r="U28" i="2" s="1"/>
  <c r="X28" i="2" s="1"/>
  <c r="X32" i="2" s="1"/>
  <c r="N9" i="2"/>
  <c r="N14" i="2" s="1"/>
  <c r="L9" i="2"/>
  <c r="L18" i="2"/>
  <c r="K23" i="2"/>
  <c r="O27" i="2"/>
  <c r="L32" i="2"/>
  <c r="E11" i="8" s="1"/>
  <c r="T40" i="2" l="1"/>
  <c r="AA37" i="2"/>
  <c r="AA28" i="2"/>
  <c r="O9" i="2"/>
  <c r="R27" i="2"/>
  <c r="O32" i="2"/>
  <c r="O18" i="2"/>
  <c r="L23" i="2"/>
  <c r="Q9" i="2"/>
  <c r="Q14" i="2" l="1"/>
  <c r="AA9" i="2"/>
  <c r="O14" i="2"/>
  <c r="R9" i="2"/>
  <c r="R14" i="2" s="1"/>
  <c r="O23" i="2"/>
  <c r="R18" i="2"/>
  <c r="R23" i="2" s="1"/>
  <c r="R32" i="2"/>
  <c r="U27" i="2"/>
  <c r="U32" i="2" s="1"/>
  <c r="T32" i="2" l="1"/>
  <c r="Q32" i="2"/>
  <c r="N32" i="2"/>
  <c r="K32" i="2"/>
  <c r="K14" i="2"/>
  <c r="H32" i="2"/>
  <c r="I32" i="2"/>
  <c r="I45" i="2" s="1"/>
  <c r="I14" i="2"/>
  <c r="I44" i="2" s="1"/>
  <c r="H14" i="2"/>
  <c r="T43" i="2" l="1"/>
  <c r="C19" i="8" s="1"/>
  <c r="H43" i="2"/>
  <c r="E37" i="4"/>
  <c r="D63" i="4"/>
  <c r="D64" i="4"/>
  <c r="D65" i="4"/>
  <c r="D62" i="4"/>
  <c r="C22" i="4"/>
  <c r="D49" i="4" l="1"/>
  <c r="E64" i="4"/>
  <c r="K40" i="2"/>
  <c r="E63" i="4"/>
  <c r="E50" i="4" l="1"/>
  <c r="B62" i="4" s="1"/>
  <c r="E62" i="4" s="1"/>
  <c r="E65" i="4"/>
  <c r="Q40" i="2"/>
  <c r="N40" i="2"/>
  <c r="N43" i="2" s="1"/>
  <c r="Q43" i="2" l="1"/>
  <c r="C18" i="8" s="1"/>
  <c r="C17" i="8"/>
</calcChain>
</file>

<file path=xl/comments1.xml><?xml version="1.0" encoding="utf-8"?>
<comments xmlns="http://schemas.openxmlformats.org/spreadsheetml/2006/main">
  <authors>
    <author>Jim Riebe</author>
  </authors>
  <commentList>
    <comment ref="E63" authorId="0">
      <text>
        <r>
          <rPr>
            <b/>
            <sz val="8"/>
            <color indexed="81"/>
            <rFont val="Tahoma"/>
            <family val="2"/>
          </rPr>
          <t>Jim Riebe:</t>
        </r>
        <r>
          <rPr>
            <sz val="8"/>
            <color indexed="81"/>
            <rFont val="Tahoma"/>
            <family val="2"/>
          </rPr>
          <t xml:space="preserve">
These differences reflect impacts from amortization of prior year deferred inflows and outflows,change in proportion during the measurement period, and remaining deferred inflows and outflows balances from prior years.</t>
        </r>
      </text>
    </comment>
    <comment ref="E64" authorId="0">
      <text>
        <r>
          <rPr>
            <b/>
            <sz val="8"/>
            <color indexed="81"/>
            <rFont val="Tahoma"/>
            <family val="2"/>
          </rPr>
          <t>Jim Riebe:</t>
        </r>
        <r>
          <rPr>
            <sz val="8"/>
            <color indexed="81"/>
            <rFont val="Tahoma"/>
            <family val="2"/>
          </rPr>
          <t xml:space="preserve">
These differences reflect impacts from amortization of prior year deferred inflows and outflows, change in proportion during the measurement period,  and remaining deferred inflows and outflows balances from prior years.</t>
        </r>
      </text>
    </comment>
    <comment ref="E65" authorId="0">
      <text>
        <r>
          <rPr>
            <b/>
            <sz val="8"/>
            <color indexed="81"/>
            <rFont val="Tahoma"/>
            <family val="2"/>
          </rPr>
          <t>Jim Riebe:</t>
        </r>
        <r>
          <rPr>
            <sz val="8"/>
            <color indexed="81"/>
            <rFont val="Tahoma"/>
            <family val="2"/>
          </rPr>
          <t xml:space="preserve">
These differences reflect impacts from amortization of prior year deferred inflows and outflows, and change in proportion during the measurement period.</t>
        </r>
      </text>
    </comment>
  </commentList>
</comments>
</file>

<file path=xl/comments2.xml><?xml version="1.0" encoding="utf-8"?>
<comments xmlns="http://schemas.openxmlformats.org/spreadsheetml/2006/main">
  <authors>
    <author>Jim Riebe</author>
  </authors>
  <commentList>
    <comment ref="F11" authorId="0">
      <text>
        <r>
          <rPr>
            <b/>
            <sz val="8"/>
            <color indexed="81"/>
            <rFont val="Tahoma"/>
            <family val="2"/>
          </rPr>
          <t>Jim Riebe:</t>
        </r>
        <r>
          <rPr>
            <sz val="8"/>
            <color indexed="81"/>
            <rFont val="Tahoma"/>
            <family val="2"/>
          </rPr>
          <t xml:space="preserve">
The journal entry to decrease deferred outflows for the change in proportion (JE # 4) is broken out on the tiered amortization schedule by category in proportion to the beginning balances in the 2015 footnote disclosure.  Economic experience ($252,466) + change in assumptions ($1,695,402) = $1,947,868.  $252,466/$1,947,868=.1296% and $1,695,402/$1,947,868=.8704%. $137,942*.1296=$17,877.  $1,695,402*.8704=$120,065.</t>
        </r>
      </text>
    </comment>
    <comment ref="F20" authorId="0">
      <text>
        <r>
          <rPr>
            <b/>
            <sz val="8"/>
            <color indexed="81"/>
            <rFont val="Tahoma"/>
            <family val="2"/>
          </rPr>
          <t>Jim Riebe:</t>
        </r>
        <r>
          <rPr>
            <sz val="8"/>
            <color indexed="81"/>
            <rFont val="Tahoma"/>
            <family val="2"/>
          </rPr>
          <t xml:space="preserve">
The journal entry to decrease deferred outflows for the change in proportion (JE # 4) is broken out on the tiered amortization schedule by category in proportion to the beginning balances in the 2015 footnote disclosure.  Economic experience ($252,466) + change in assumptions ($1,695,402) = $1,947,868.  $252,466/$1,947,868=.1296% and $1,695,402/$1,947,868=.8704%. $137,942*.1296=$17,877.  $1,695,402*.8704=$120,065.</t>
        </r>
      </text>
    </comment>
    <comment ref="L44" authorId="0">
      <text>
        <r>
          <rPr>
            <b/>
            <sz val="8"/>
            <color indexed="81"/>
            <rFont val="Tahoma"/>
            <family val="2"/>
          </rPr>
          <t>Jim Riebe:</t>
        </r>
        <r>
          <rPr>
            <sz val="8"/>
            <color indexed="81"/>
            <rFont val="Tahoma"/>
            <family val="2"/>
          </rPr>
          <t xml:space="preserve">
Does not include $1,488,293 in contributions subsequent to the measurement date.  $2,803,046+$1,488,293= $4,291,339.</t>
        </r>
      </text>
    </comment>
  </commentList>
</comments>
</file>

<file path=xl/sharedStrings.xml><?xml version="1.0" encoding="utf-8"?>
<sst xmlns="http://schemas.openxmlformats.org/spreadsheetml/2006/main" count="308" uniqueCount="156">
  <si>
    <t>Beginning NPL</t>
  </si>
  <si>
    <t>Ending NPL</t>
  </si>
  <si>
    <t>Beginning % (2014)</t>
  </si>
  <si>
    <t>Ending % (2015)</t>
  </si>
  <si>
    <t xml:space="preserve">   Liab. Experience Gains &amp; Losses</t>
  </si>
  <si>
    <t xml:space="preserve">   Asset Gain/Loss</t>
  </si>
  <si>
    <t>(5 yr amtz)</t>
  </si>
  <si>
    <t xml:space="preserve">   NPL</t>
  </si>
  <si>
    <t>DR</t>
  </si>
  <si>
    <t>Debit</t>
  </si>
  <si>
    <t>Credit</t>
  </si>
  <si>
    <t>CR</t>
  </si>
  <si>
    <t>NPL</t>
  </si>
  <si>
    <t>Def Outflow</t>
  </si>
  <si>
    <t>Cash/Pens Exp</t>
  </si>
  <si>
    <t xml:space="preserve">DR </t>
  </si>
  <si>
    <t>Pens Expense</t>
  </si>
  <si>
    <t>Share of ending pension expense</t>
  </si>
  <si>
    <t>Def Inflow</t>
  </si>
  <si>
    <t>Balances:</t>
  </si>
  <si>
    <t xml:space="preserve">   Deferred Outflow</t>
  </si>
  <si>
    <t xml:space="preserve">   Deferred Inflow</t>
  </si>
  <si>
    <t xml:space="preserve">   Pension Expense</t>
  </si>
  <si>
    <t>Collective</t>
  </si>
  <si>
    <t>Difference</t>
  </si>
  <si>
    <t>Journal Entries</t>
  </si>
  <si>
    <t>Public Employees Retirement Association</t>
  </si>
  <si>
    <t>General Employees Retirement Fund</t>
  </si>
  <si>
    <t>(4 yr amtz)</t>
  </si>
  <si>
    <t>Pension Expense</t>
  </si>
  <si>
    <t>Deferred Inflow</t>
  </si>
  <si>
    <t>Public Employees Retirement Fund</t>
  </si>
  <si>
    <t>Differences between Expected and Actual Economic Experience</t>
  </si>
  <si>
    <t>Changes in Actuarial Assumptions</t>
  </si>
  <si>
    <t>Differences between Projected and Actual Investment Earnings</t>
  </si>
  <si>
    <t>Changes in Proportion</t>
  </si>
  <si>
    <t>Thereafter</t>
  </si>
  <si>
    <t>Measurement Date</t>
  </si>
  <si>
    <t>Yearly Subtotals</t>
  </si>
  <si>
    <t>Expense</t>
  </si>
  <si>
    <t>Remaining Deferral</t>
  </si>
  <si>
    <t xml:space="preserve">   Actual Contributions 7/1/14 - 6/30/15</t>
  </si>
  <si>
    <t>Actuarial Information:*</t>
  </si>
  <si>
    <t>% of Collective*</t>
  </si>
  <si>
    <t>*Amounts calculated by taking the collective amounts from the Net Pension Liability column of the GASB 68  Reconciliation, Current Reporting Period, contained in the 2015 GASB 68 Actuarial Valuation Report multiplied by the employer's proportionate share percentage.</t>
  </si>
  <si>
    <t>Minnetonka School District GASB 68 Tiered Amortization Schedules</t>
  </si>
  <si>
    <t>($1,596,429 is a Def Outflow; $399,107 is pension expense)</t>
  </si>
  <si>
    <t>($850,228 is a Def Inflow; $283,409 is pension expense)</t>
  </si>
  <si>
    <t>Beginning Deferred Outflow</t>
  </si>
  <si>
    <t>Beginning Deferred Inflow</t>
  </si>
  <si>
    <t>ER Contrib 7/1/15 - 06/30/16</t>
  </si>
  <si>
    <t>Deferred Outflow</t>
  </si>
  <si>
    <t>ER Contrib  7/1/14 - 6/30/15</t>
  </si>
  <si>
    <t>1.  Contrib paid 7/1/14 - 6/30/15</t>
  </si>
  <si>
    <t>Annual Journal Entries:</t>
  </si>
  <si>
    <t>2. (a) Asset Gain/Loss</t>
  </si>
  <si>
    <t>2.  (b)  Liab Experience Gains/Losses</t>
  </si>
  <si>
    <t>Proportionate Share of Collective Amount*</t>
  </si>
  <si>
    <t>-</t>
  </si>
  <si>
    <t>Deferred Outflows of Resources</t>
  </si>
  <si>
    <t>Deferred Inflows of Resources</t>
  </si>
  <si>
    <t>Net Pension Liability</t>
  </si>
  <si>
    <t xml:space="preserve">Change in Proportionate Share of </t>
  </si>
  <si>
    <t>Prop Share Beg @ .3502% (a)</t>
  </si>
  <si>
    <t>Prop Share End @ .3254% (b)</t>
  </si>
  <si>
    <t>Total of changes in the beginning reported balances</t>
  </si>
  <si>
    <t>Amount to be recognized for the net of the changes in proportion</t>
  </si>
  <si>
    <t>4 yr amort.</t>
  </si>
  <si>
    <t>Deferred (Inflows)/Outflows Amortization Schedule and Pension Expense [DR or (CR)](Four Year Amortization Except Differences between Actual and Projected Investment Earnings is Five Years)</t>
  </si>
  <si>
    <t>Collective Amount at 6/30/2014</t>
  </si>
  <si>
    <t>Source of Information/Notes</t>
  </si>
  <si>
    <t>2015 Schedule of Pension Amounts by Employer</t>
  </si>
  <si>
    <t>2014 Schedule of Employer Allocations</t>
  </si>
  <si>
    <t>2015 Schedule of Employer Allocations</t>
  </si>
  <si>
    <t>2014 Schedule of Pension Amounts by Employer</t>
  </si>
  <si>
    <t>Debit balances (b-a)*</t>
  </si>
  <si>
    <t>Credit balances (b-a)**</t>
  </si>
  <si>
    <t>*Negative debit balances = credit balances</t>
  </si>
  <si>
    <t>**Negative credit balances = debit balances</t>
  </si>
  <si>
    <t>Minnetonka School District (Employer 1855-30) GASB 68 Journal Entries Year Two</t>
  </si>
  <si>
    <t>Calculation of Change in Proportion</t>
  </si>
  <si>
    <t>Minnetonka School District</t>
  </si>
  <si>
    <t>3.  Amortize prior year (FY 2015) deferred amounts</t>
  </si>
  <si>
    <t>Pension Expense (CR)</t>
  </si>
  <si>
    <t>Deferred Outflows (CR)</t>
  </si>
  <si>
    <t>FY 2016 (June 30, 2015, Measurement Date)</t>
  </si>
  <si>
    <t>As of June 30, 2016 (June 30, 2015, Measurement Date)</t>
  </si>
  <si>
    <t>FY 2016 Reporting Period (June 30, 2015, Measurement Date)</t>
  </si>
  <si>
    <t>DO</t>
  </si>
  <si>
    <t>DI</t>
  </si>
  <si>
    <t>Category of Deferral</t>
  </si>
  <si>
    <t>(Higher actual contributions CR NPL and DR pension expense)</t>
  </si>
  <si>
    <t xml:space="preserve">Deferred Outflows </t>
  </si>
  <si>
    <t>Deferred Inflows</t>
  </si>
  <si>
    <t>3)</t>
  </si>
  <si>
    <t>1)</t>
  </si>
  <si>
    <t>5)</t>
  </si>
  <si>
    <t>Minnetonka School District (Employer 1855-30) T-Accounts</t>
  </si>
  <si>
    <t>2a)</t>
  </si>
  <si>
    <t>2b)</t>
  </si>
  <si>
    <t>2c)</t>
  </si>
  <si>
    <t>of resources</t>
  </si>
  <si>
    <t xml:space="preserve">  4.  Change in proportion</t>
  </si>
  <si>
    <t xml:space="preserve">  5.  Diff in actual vs. prop share contrib</t>
  </si>
  <si>
    <t>6.  Record ER contrib 7/1/15 - 6/30/2016</t>
  </si>
  <si>
    <t>3) Recognize pension expense for this year's amortization of prior year deferred inflows and outflows</t>
  </si>
  <si>
    <t>4) Change in proportionate share</t>
  </si>
  <si>
    <t>2) Recognize pension expense, deferred inflows and deferred outflows at the measurement date (6/30/2015)</t>
  </si>
  <si>
    <t xml:space="preserve">1) Recognize contributions made during the measurement period 7/1/2014 through 6/30/2015 </t>
  </si>
  <si>
    <t>(included in deferred outflows in FY 2015 financial statements)</t>
  </si>
  <si>
    <t>6)</t>
  </si>
  <si>
    <t>6) Reclassify contributions made subsequent to the measurement date (7/1/2015 through 6/30/2016)</t>
  </si>
  <si>
    <t xml:space="preserve">   Prop Share Contrib (0.3254% of $435,115,000)</t>
  </si>
  <si>
    <t>4)</t>
  </si>
  <si>
    <t>PERA Contribution by Plan Report, PERA ERIS System</t>
  </si>
  <si>
    <t>5)  Difference in contributions used as the basis for the proportionate share allocation ($1,415,864) and contributions</t>
  </si>
  <si>
    <t xml:space="preserve"> that would be reported in the district's financial statements at the measurement date ($1,416,094) or $230.</t>
  </si>
  <si>
    <t>Yearly Totals for Pension Disclosures:</t>
  </si>
  <si>
    <t xml:space="preserve">     Pension Expense (Amortization of Prior Year Deferred Inflows and Outflows)</t>
  </si>
  <si>
    <t>Total Amortization Validation</t>
  </si>
  <si>
    <t xml:space="preserve">     Deferred Outflows Remaining </t>
  </si>
  <si>
    <t xml:space="preserve">     Deferred Inflows Remaining </t>
  </si>
  <si>
    <t>Annual Journal Entries</t>
  </si>
  <si>
    <t>District prior year footnote disclosure (PERA shows $1,416,946)</t>
  </si>
  <si>
    <t>2015 Schedule of Pension Amounts by Employer (Before NPL change in proportion amortization)</t>
  </si>
  <si>
    <t>2.  (c )  Record remainder of expense</t>
  </si>
  <si>
    <t>*Amounts calculated by taking the collective amounts from the Net Pension Liability column or Pension Expense column total of the GASB 68  Reconciliation, Current Reporting Period, contained in the 2015 GASB 68 Actuarial Valuation Report, multiplied by the employer's proportionate share percentage.</t>
  </si>
  <si>
    <t>For the Year Ended June 30, 2016 (Measurement Date June 30, 2015)</t>
  </si>
  <si>
    <t>Description</t>
  </si>
  <si>
    <t xml:space="preserve">Differences Between Expected and Actual Economic Experience </t>
  </si>
  <si>
    <t>Net Difference Between Projected and Actual Earnings on Pension Plan Investments</t>
  </si>
  <si>
    <t>Changes in Proportion (Note Differences Between District Contributions and Proportionate Share of Contributions Expensed, Not Deferred)</t>
  </si>
  <si>
    <t>District Contributions Subsequent to the Measurement Date (July 1, 2015, through June 30, 2016)</t>
  </si>
  <si>
    <t xml:space="preserve">     Totals</t>
  </si>
  <si>
    <t>GERF Partial Deferred Inflows/Outflows Footnote Disclosure and Impact on Future Pension Expense</t>
  </si>
  <si>
    <t>A total of $1,488,293 reported as deferred outflows of resources related to pensions resulting from District contributions to GERF subsequent to the measurement date will be recognized as a reduction of the net pension liability in the year ended June 30, 2017.   Other amounts reported as deferred outflows and inflows of resources related to GERF pensions will be recognized as pension expense as follows:</t>
  </si>
  <si>
    <t>Year Ended June 30,</t>
  </si>
  <si>
    <t>Pension Expense Amount</t>
  </si>
  <si>
    <t>7)</t>
  </si>
  <si>
    <t xml:space="preserve">7.  Amortize beginning deferred inflows </t>
  </si>
  <si>
    <t>and deferred outflowsfor changes in</t>
  </si>
  <si>
    <t>proportion and difference between</t>
  </si>
  <si>
    <t xml:space="preserve"> </t>
  </si>
  <si>
    <t xml:space="preserve"> actual contributions and allocated</t>
  </si>
  <si>
    <t xml:space="preserve"> contributions.</t>
  </si>
  <si>
    <t xml:space="preserve">  Change in Proportion</t>
  </si>
  <si>
    <t xml:space="preserve">     Change in Proportion</t>
  </si>
  <si>
    <t>See illustration 3b in Appendix 3 of GASB 68 Implementation Guide (pages 162 through 165)</t>
  </si>
  <si>
    <t>3 year remaining amort.</t>
  </si>
  <si>
    <t>4 year remaining amort.</t>
  </si>
  <si>
    <t>Beginning Deferred Outflows/Inflows for Change in Proportion</t>
  </si>
  <si>
    <t>Deferred Outflows</t>
  </si>
  <si>
    <t xml:space="preserve">7) Amortize deferred inflows ($314,776/4=$78,694) and deferred outflows ($137,942/3=$45,981) for change in proportion </t>
  </si>
  <si>
    <t>*</t>
  </si>
  <si>
    <t>Reclass negative deferred outflow of $1,006,361 as deferred inflow for JE 4 per asterisk on page 163 Appendix 3 of the Implementation Guide.</t>
  </si>
  <si>
    <t>*For purposes of this case study, the difference between projected and actual investment earnings are presented at gross amounts.   However, according to GASB 68, paragraph 71b,  this category should be shown net.  To comply with that provision an additional journal entry would be required (which is not part of the case study journal entries) which would credit deferred outflows and debit deferred inflows for $1,596,429.   The revised disclosure would show no deferred outlfows and $1,501,196 of deferred outflows for the difference between projected and actual earnings.  After the additional journal entry, deferred outflows would total  $2,694,911 and deferred inflows would total $3,357,790 on the disclosure which would also tie to the financial statements.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</si>
</sst>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44" formatCode="_(&quot;$&quot;* #,##0.00_);_(&quot;$&quot;* \(#,##0.00\);_(&quot;$&quot;* &quot;-&quot;??_);_(@_)"/>
    <numFmt numFmtId="43" formatCode="_(* #,##0.00_);_(* \(#,##0.00\);_(* &quot;-&quot;??_);_(@_)"/>
    <numFmt numFmtId="164" formatCode="_(* #,##0_);_(* \(#,##0\);_(* &quot;-&quot;??_);_(@_)"/>
    <numFmt numFmtId="165" formatCode="&quot;$&quot;#,##0"/>
    <numFmt numFmtId="166" formatCode="0.0000%"/>
    <numFmt numFmtId="167" formatCode="_(&quot;$&quot;* #,##0_);_(&quot;$&quot;* \(#,##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b/>
      <u/>
      <sz val="11"/>
      <color theme="1"/>
      <name val="Calibri"/>
      <family val="2"/>
      <scheme val="minor"/>
    </font>
    <font>
      <sz val="8"/>
      <color indexed="81"/>
      <name val="Tahoma"/>
      <family val="2"/>
    </font>
    <font>
      <b/>
      <sz val="8"/>
      <color indexed="81"/>
      <name val="Tahoma"/>
      <family val="2"/>
    </font>
  </fonts>
  <fills count="7">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ouble">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88">
    <xf numFmtId="0" fontId="0" fillId="0" borderId="0" xfId="0"/>
    <xf numFmtId="164" fontId="0" fillId="0" borderId="0" xfId="0" applyNumberFormat="1"/>
    <xf numFmtId="0" fontId="3" fillId="0" borderId="0" xfId="0" applyFont="1"/>
    <xf numFmtId="0" fontId="0" fillId="0" borderId="4" xfId="0" applyBorder="1"/>
    <xf numFmtId="0" fontId="0" fillId="0" borderId="6" xfId="0" applyBorder="1"/>
    <xf numFmtId="0" fontId="2" fillId="0" borderId="1" xfId="0" applyFont="1" applyBorder="1"/>
    <xf numFmtId="0" fontId="4" fillId="0" borderId="2" xfId="0" applyFont="1" applyBorder="1" applyAlignment="1">
      <alignment horizontal="center"/>
    </xf>
    <xf numFmtId="0" fontId="0" fillId="0" borderId="0" xfId="0" quotePrefix="1" applyAlignment="1">
      <alignment horizontal="left"/>
    </xf>
    <xf numFmtId="3" fontId="0" fillId="0" borderId="0" xfId="0" applyNumberFormat="1"/>
    <xf numFmtId="3" fontId="0" fillId="0" borderId="0" xfId="1" applyNumberFormat="1" applyFont="1"/>
    <xf numFmtId="3" fontId="3" fillId="0" borderId="0" xfId="0" applyNumberFormat="1" applyFont="1" applyAlignment="1">
      <alignment horizontal="center"/>
    </xf>
    <xf numFmtId="3" fontId="4" fillId="0" borderId="3" xfId="1" applyNumberFormat="1" applyFont="1" applyBorder="1" applyAlignment="1">
      <alignment horizontal="center"/>
    </xf>
    <xf numFmtId="165" fontId="0" fillId="0" borderId="0" xfId="1" applyNumberFormat="1" applyFont="1"/>
    <xf numFmtId="165" fontId="0" fillId="0" borderId="0" xfId="0" applyNumberFormat="1"/>
    <xf numFmtId="165" fontId="0" fillId="0" borderId="0" xfId="0" applyNumberFormat="1" applyBorder="1"/>
    <xf numFmtId="165" fontId="0" fillId="0" borderId="0" xfId="1" applyNumberFormat="1" applyFont="1" applyBorder="1"/>
    <xf numFmtId="165" fontId="0" fillId="0" borderId="5" xfId="1" applyNumberFormat="1" applyFont="1" applyBorder="1"/>
    <xf numFmtId="165" fontId="0" fillId="0" borderId="7" xfId="1" applyNumberFormat="1" applyFont="1" applyBorder="1"/>
    <xf numFmtId="165" fontId="0" fillId="0" borderId="8" xfId="1" applyNumberFormat="1" applyFont="1" applyBorder="1"/>
    <xf numFmtId="166" fontId="0" fillId="0" borderId="0" xfId="2" applyNumberFormat="1" applyFont="1"/>
    <xf numFmtId="3" fontId="0" fillId="0" borderId="0" xfId="0" quotePrefix="1" applyNumberFormat="1" applyFill="1" applyAlignment="1">
      <alignment horizontal="left"/>
    </xf>
    <xf numFmtId="165" fontId="0" fillId="0" borderId="9" xfId="0" applyNumberFormat="1" applyBorder="1"/>
    <xf numFmtId="3" fontId="0" fillId="0" borderId="0" xfId="0" quotePrefix="1" applyNumberFormat="1" applyAlignment="1">
      <alignment horizontal="left"/>
    </xf>
    <xf numFmtId="0" fontId="2" fillId="0" borderId="0" xfId="0" applyFont="1"/>
    <xf numFmtId="15" fontId="0" fillId="0" borderId="0" xfId="0" applyNumberFormat="1" applyAlignment="1">
      <alignment horizontal="center"/>
    </xf>
    <xf numFmtId="5" fontId="0" fillId="0" borderId="0" xfId="0" applyNumberFormat="1"/>
    <xf numFmtId="0" fontId="2" fillId="0" borderId="9" xfId="0" quotePrefix="1" applyFont="1" applyBorder="1" applyAlignment="1">
      <alignment horizontal="center" wrapText="1"/>
    </xf>
    <xf numFmtId="0" fontId="0" fillId="0" borderId="0" xfId="0" applyBorder="1"/>
    <xf numFmtId="5" fontId="0" fillId="0" borderId="0" xfId="0" applyNumberFormat="1" applyBorder="1"/>
    <xf numFmtId="0" fontId="2" fillId="0" borderId="0" xfId="0" quotePrefix="1" applyFont="1" applyAlignment="1">
      <alignment horizontal="left"/>
    </xf>
    <xf numFmtId="0" fontId="0" fillId="0" borderId="0" xfId="0" quotePrefix="1" applyAlignment="1">
      <alignment horizontal="left" wrapText="1"/>
    </xf>
    <xf numFmtId="0" fontId="0" fillId="0" borderId="0" xfId="0" applyAlignment="1">
      <alignment wrapText="1"/>
    </xf>
    <xf numFmtId="3" fontId="4" fillId="0" borderId="2" xfId="0" quotePrefix="1" applyNumberFormat="1" applyFont="1" applyBorder="1" applyAlignment="1">
      <alignment horizontal="center"/>
    </xf>
    <xf numFmtId="3" fontId="4" fillId="0" borderId="2" xfId="1" quotePrefix="1" applyNumberFormat="1" applyFont="1" applyBorder="1" applyAlignment="1">
      <alignment horizontal="center"/>
    </xf>
    <xf numFmtId="0" fontId="2" fillId="0" borderId="9" xfId="0" quotePrefix="1" applyFont="1" applyBorder="1" applyAlignment="1">
      <alignment horizontal="center" wrapText="1"/>
    </xf>
    <xf numFmtId="0" fontId="0" fillId="3" borderId="0" xfId="0" applyFill="1"/>
    <xf numFmtId="165" fontId="0" fillId="3" borderId="0" xfId="1" applyNumberFormat="1" applyFont="1" applyFill="1"/>
    <xf numFmtId="0" fontId="0" fillId="0" borderId="0" xfId="0" applyFill="1"/>
    <xf numFmtId="3" fontId="0" fillId="3" borderId="0" xfId="0" applyNumberFormat="1" applyFill="1"/>
    <xf numFmtId="15" fontId="0" fillId="3" borderId="0" xfId="0" applyNumberFormat="1" applyFill="1" applyAlignment="1">
      <alignment horizontal="center"/>
    </xf>
    <xf numFmtId="0" fontId="3" fillId="3" borderId="0" xfId="0" applyFont="1" applyFill="1" applyBorder="1" applyAlignment="1">
      <alignment horizontal="center"/>
    </xf>
    <xf numFmtId="0" fontId="3" fillId="3" borderId="0" xfId="0" applyFont="1" applyFill="1"/>
    <xf numFmtId="0" fontId="0" fillId="3" borderId="9" xfId="0" applyFill="1" applyBorder="1" applyAlignment="1">
      <alignment horizontal="center"/>
    </xf>
    <xf numFmtId="0" fontId="0" fillId="3" borderId="9" xfId="0" applyFill="1" applyBorder="1" applyAlignment="1">
      <alignment horizontal="center" wrapText="1"/>
    </xf>
    <xf numFmtId="0" fontId="0" fillId="3" borderId="0" xfId="0" applyFill="1" applyBorder="1" applyAlignment="1">
      <alignment horizontal="center" wrapText="1"/>
    </xf>
    <xf numFmtId="0" fontId="2" fillId="3" borderId="0" xfId="0" applyFont="1" applyFill="1"/>
    <xf numFmtId="5" fontId="0" fillId="3" borderId="0" xfId="0" applyNumberFormat="1" applyFill="1"/>
    <xf numFmtId="5" fontId="0" fillId="3" borderId="0" xfId="0" applyNumberFormat="1" applyFill="1" applyBorder="1"/>
    <xf numFmtId="0" fontId="0" fillId="4" borderId="0" xfId="0" applyFill="1"/>
    <xf numFmtId="15" fontId="0" fillId="4" borderId="0" xfId="0" applyNumberFormat="1" applyFill="1" applyAlignment="1">
      <alignment horizontal="center"/>
    </xf>
    <xf numFmtId="0" fontId="3" fillId="4" borderId="0" xfId="0" applyFont="1" applyFill="1" applyBorder="1" applyAlignment="1">
      <alignment horizontal="center"/>
    </xf>
    <xf numFmtId="0" fontId="3" fillId="4" borderId="0" xfId="0" applyFont="1" applyFill="1"/>
    <xf numFmtId="0" fontId="0" fillId="4" borderId="9" xfId="0" applyFill="1" applyBorder="1" applyAlignment="1">
      <alignment horizontal="center"/>
    </xf>
    <xf numFmtId="0" fontId="0" fillId="4" borderId="9" xfId="0" applyFill="1" applyBorder="1" applyAlignment="1">
      <alignment horizontal="center" wrapText="1"/>
    </xf>
    <xf numFmtId="0" fontId="0" fillId="4" borderId="0" xfId="0" applyFill="1" applyBorder="1" applyAlignment="1">
      <alignment horizontal="center" wrapText="1"/>
    </xf>
    <xf numFmtId="0" fontId="2" fillId="4" borderId="0" xfId="0" applyFont="1" applyFill="1"/>
    <xf numFmtId="5" fontId="0" fillId="4" borderId="0" xfId="0" applyNumberFormat="1" applyFill="1"/>
    <xf numFmtId="5" fontId="0" fillId="4" borderId="0" xfId="0" applyNumberFormat="1" applyFill="1" applyBorder="1"/>
    <xf numFmtId="0" fontId="0" fillId="5" borderId="0" xfId="0" applyFill="1"/>
    <xf numFmtId="15" fontId="0" fillId="5" borderId="0" xfId="0" applyNumberFormat="1" applyFill="1" applyAlignment="1">
      <alignment horizontal="center"/>
    </xf>
    <xf numFmtId="0" fontId="3" fillId="5" borderId="0" xfId="0" applyFont="1" applyFill="1" applyBorder="1" applyAlignment="1">
      <alignment horizontal="center"/>
    </xf>
    <xf numFmtId="0" fontId="3" fillId="5" borderId="0" xfId="0" applyFont="1" applyFill="1"/>
    <xf numFmtId="0" fontId="0" fillId="5" borderId="9" xfId="0" applyFill="1" applyBorder="1" applyAlignment="1">
      <alignment horizontal="center"/>
    </xf>
    <xf numFmtId="0" fontId="0" fillId="5" borderId="9" xfId="0" applyFill="1" applyBorder="1" applyAlignment="1">
      <alignment horizontal="center" wrapText="1"/>
    </xf>
    <xf numFmtId="0" fontId="0" fillId="5" borderId="0" xfId="0" applyFill="1" applyBorder="1" applyAlignment="1">
      <alignment horizontal="center" wrapText="1"/>
    </xf>
    <xf numFmtId="0" fontId="2" fillId="5" borderId="0" xfId="0" applyFont="1" applyFill="1"/>
    <xf numFmtId="5" fontId="0" fillId="5" borderId="0" xfId="0" applyNumberFormat="1" applyFill="1"/>
    <xf numFmtId="5" fontId="0" fillId="5" borderId="0" xfId="0" applyNumberFormat="1" applyFill="1" applyBorder="1"/>
    <xf numFmtId="0" fontId="0" fillId="5" borderId="0" xfId="0" applyFill="1" applyBorder="1"/>
    <xf numFmtId="0" fontId="2" fillId="6" borderId="0" xfId="0" applyFont="1" applyFill="1"/>
    <xf numFmtId="0" fontId="0" fillId="6" borderId="0" xfId="0" applyFill="1"/>
    <xf numFmtId="15" fontId="0" fillId="6" borderId="0" xfId="0" applyNumberFormat="1" applyFill="1" applyAlignment="1">
      <alignment horizontal="center"/>
    </xf>
    <xf numFmtId="5" fontId="0" fillId="6" borderId="0" xfId="0" applyNumberFormat="1" applyFill="1"/>
    <xf numFmtId="0" fontId="3" fillId="6" borderId="0" xfId="0" applyFont="1" applyFill="1" applyBorder="1" applyAlignment="1">
      <alignment horizontal="center"/>
    </xf>
    <xf numFmtId="0" fontId="3" fillId="6" borderId="0" xfId="0" applyFont="1" applyFill="1"/>
    <xf numFmtId="0" fontId="0" fillId="6" borderId="9" xfId="0" applyFill="1" applyBorder="1" applyAlignment="1">
      <alignment horizontal="center"/>
    </xf>
    <xf numFmtId="0" fontId="0" fillId="6" borderId="9" xfId="0" applyFill="1" applyBorder="1" applyAlignment="1">
      <alignment horizontal="center" wrapText="1"/>
    </xf>
    <xf numFmtId="0" fontId="0" fillId="6" borderId="0" xfId="0" applyFill="1" applyBorder="1" applyAlignment="1">
      <alignment horizontal="center" wrapText="1"/>
    </xf>
    <xf numFmtId="5" fontId="0" fillId="6" borderId="0" xfId="0" applyNumberFormat="1" applyFill="1" applyBorder="1"/>
    <xf numFmtId="5" fontId="0" fillId="6" borderId="9" xfId="0" applyNumberFormat="1" applyFill="1" applyBorder="1"/>
    <xf numFmtId="5" fontId="0" fillId="4" borderId="9" xfId="0" applyNumberFormat="1" applyFill="1" applyBorder="1"/>
    <xf numFmtId="5" fontId="0" fillId="3" borderId="9" xfId="0" applyNumberFormat="1" applyFill="1" applyBorder="1"/>
    <xf numFmtId="0" fontId="4" fillId="6" borderId="0" xfId="0" applyFont="1" applyFill="1"/>
    <xf numFmtId="165" fontId="0" fillId="5" borderId="0" xfId="0" applyNumberFormat="1" applyFill="1" applyAlignment="1">
      <alignment horizontal="center"/>
    </xf>
    <xf numFmtId="165" fontId="0" fillId="6" borderId="0" xfId="0" applyNumberFormat="1" applyFill="1"/>
    <xf numFmtId="5" fontId="0" fillId="5" borderId="9" xfId="0" applyNumberFormat="1" applyFill="1" applyBorder="1"/>
    <xf numFmtId="5" fontId="0" fillId="4" borderId="0" xfId="0" applyNumberFormat="1" applyFill="1" applyAlignment="1">
      <alignment horizontal="center"/>
    </xf>
    <xf numFmtId="0" fontId="0" fillId="0" borderId="0" xfId="0" applyFont="1" applyFill="1" applyBorder="1" applyAlignment="1">
      <alignment horizontal="center"/>
    </xf>
    <xf numFmtId="5" fontId="0" fillId="0" borderId="0" xfId="0" applyNumberFormat="1" applyFill="1" applyBorder="1"/>
    <xf numFmtId="0" fontId="0" fillId="0" borderId="0" xfId="0" applyFill="1" applyBorder="1"/>
    <xf numFmtId="0" fontId="0" fillId="4" borderId="0" xfId="0" applyFont="1" applyFill="1" applyBorder="1" applyAlignment="1">
      <alignment horizontal="center"/>
    </xf>
    <xf numFmtId="0" fontId="3" fillId="5" borderId="0" xfId="0" applyFont="1" applyFill="1" applyBorder="1"/>
    <xf numFmtId="0" fontId="3" fillId="6" borderId="0" xfId="0" applyFont="1" applyFill="1" applyBorder="1"/>
    <xf numFmtId="0" fontId="3" fillId="3" borderId="0" xfId="0" applyFont="1" applyFill="1" applyBorder="1"/>
    <xf numFmtId="0" fontId="3" fillId="0" borderId="0" xfId="0" applyFont="1" applyFill="1" applyBorder="1" applyAlignment="1">
      <alignment horizontal="center"/>
    </xf>
    <xf numFmtId="5" fontId="0" fillId="5" borderId="0" xfId="0" applyNumberFormat="1" applyFill="1" applyAlignment="1">
      <alignment horizontal="center"/>
    </xf>
    <xf numFmtId="165" fontId="0" fillId="2" borderId="0" xfId="1" applyNumberFormat="1" applyFont="1" applyFill="1"/>
    <xf numFmtId="165" fontId="0" fillId="6" borderId="0" xfId="0" applyNumberFormat="1" applyFill="1" applyAlignment="1">
      <alignment horizontal="center"/>
    </xf>
    <xf numFmtId="5" fontId="0" fillId="3" borderId="0" xfId="0" applyNumberFormat="1" applyFill="1" applyAlignment="1">
      <alignment horizontal="center"/>
    </xf>
    <xf numFmtId="3" fontId="0" fillId="0" borderId="0" xfId="0" applyNumberFormat="1" applyFill="1"/>
    <xf numFmtId="165" fontId="0" fillId="0" borderId="0" xfId="1" applyNumberFormat="1" applyFont="1" applyFill="1"/>
    <xf numFmtId="0" fontId="2" fillId="0" borderId="0" xfId="0" quotePrefix="1" applyFont="1" applyBorder="1" applyAlignment="1">
      <alignment horizontal="center" wrapText="1"/>
    </xf>
    <xf numFmtId="167" fontId="0" fillId="0" borderId="0" xfId="3" applyNumberFormat="1" applyFont="1"/>
    <xf numFmtId="167" fontId="0" fillId="0" borderId="0" xfId="0" applyNumberFormat="1"/>
    <xf numFmtId="167" fontId="0" fillId="0" borderId="11" xfId="0" applyNumberFormat="1" applyBorder="1" applyAlignment="1">
      <alignment horizontal="center"/>
    </xf>
    <xf numFmtId="167" fontId="0" fillId="0" borderId="9" xfId="3" applyNumberFormat="1" applyFont="1" applyBorder="1"/>
    <xf numFmtId="167" fontId="0" fillId="0" borderId="9" xfId="0" applyNumberFormat="1" applyBorder="1"/>
    <xf numFmtId="167" fontId="0" fillId="0" borderId="0" xfId="3" applyNumberFormat="1" applyFont="1" applyBorder="1"/>
    <xf numFmtId="0" fontId="3" fillId="0" borderId="0" xfId="0" applyFont="1" applyFill="1" applyBorder="1"/>
    <xf numFmtId="0" fontId="2" fillId="0" borderId="9" xfId="0" applyFont="1" applyBorder="1" applyAlignment="1">
      <alignment horizontal="center" wrapText="1"/>
    </xf>
    <xf numFmtId="167" fontId="0" fillId="0" borderId="0" xfId="0" applyNumberFormat="1" applyFill="1"/>
    <xf numFmtId="3" fontId="0" fillId="0" borderId="9" xfId="0" applyNumberFormat="1" applyBorder="1"/>
    <xf numFmtId="3" fontId="2" fillId="0" borderId="0" xfId="0" applyNumberFormat="1" applyFont="1"/>
    <xf numFmtId="0" fontId="2" fillId="0" borderId="9" xfId="0" quotePrefix="1" applyFont="1" applyBorder="1" applyAlignment="1">
      <alignment horizontal="center" wrapText="1"/>
    </xf>
    <xf numFmtId="167" fontId="0" fillId="0" borderId="0" xfId="0" applyNumberFormat="1" applyBorder="1"/>
    <xf numFmtId="3" fontId="0" fillId="2" borderId="0" xfId="0" applyNumberFormat="1" applyFill="1"/>
    <xf numFmtId="5" fontId="0" fillId="3" borderId="0" xfId="0" applyNumberFormat="1" applyFill="1" applyAlignment="1">
      <alignment horizontal="right"/>
    </xf>
    <xf numFmtId="0" fontId="0" fillId="5" borderId="0" xfId="0" applyFill="1" applyAlignment="1">
      <alignment horizontal="center"/>
    </xf>
    <xf numFmtId="0" fontId="0" fillId="5" borderId="0" xfId="0" applyFill="1" applyBorder="1" applyAlignment="1">
      <alignment horizontal="center"/>
    </xf>
    <xf numFmtId="5" fontId="0" fillId="0" borderId="0" xfId="0" applyNumberFormat="1" applyAlignment="1">
      <alignment horizontal="center"/>
    </xf>
    <xf numFmtId="5" fontId="0" fillId="6" borderId="0" xfId="0" applyNumberFormat="1" applyFill="1" applyAlignment="1">
      <alignment horizontal="center"/>
    </xf>
    <xf numFmtId="5" fontId="0" fillId="4" borderId="0" xfId="0" applyNumberFormat="1" applyFill="1" applyBorder="1" applyAlignment="1">
      <alignment horizontal="center"/>
    </xf>
    <xf numFmtId="0" fontId="0" fillId="0" borderId="0" xfId="0" quotePrefix="1" applyAlignment="1">
      <alignment horizontal="right"/>
    </xf>
    <xf numFmtId="165" fontId="0" fillId="0" borderId="12" xfId="0" applyNumberFormat="1" applyFill="1" applyBorder="1"/>
    <xf numFmtId="165" fontId="0" fillId="0" borderId="0" xfId="0" applyNumberFormat="1" applyFill="1"/>
    <xf numFmtId="165" fontId="0" fillId="0" borderId="0" xfId="0" applyNumberFormat="1" applyFill="1" applyBorder="1"/>
    <xf numFmtId="165" fontId="0" fillId="0" borderId="12" xfId="0" applyNumberFormat="1" applyBorder="1"/>
    <xf numFmtId="0" fontId="0" fillId="0" borderId="0" xfId="0" applyAlignment="1">
      <alignment horizontal="right"/>
    </xf>
    <xf numFmtId="165" fontId="0" fillId="0" borderId="13" xfId="0" applyNumberFormat="1" applyBorder="1"/>
    <xf numFmtId="0" fontId="0" fillId="0" borderId="0" xfId="0" applyBorder="1" applyAlignment="1"/>
    <xf numFmtId="165" fontId="0" fillId="0" borderId="14" xfId="0" applyNumberFormat="1" applyFill="1" applyBorder="1"/>
    <xf numFmtId="165" fontId="0" fillId="0" borderId="11" xfId="0" applyNumberFormat="1" applyBorder="1"/>
    <xf numFmtId="165" fontId="0" fillId="0" borderId="0" xfId="0" applyNumberFormat="1" applyFill="1" applyBorder="1" applyAlignment="1">
      <alignment horizontal="center"/>
    </xf>
    <xf numFmtId="0" fontId="0" fillId="0" borderId="0" xfId="0" applyBorder="1" applyAlignment="1">
      <alignment horizontal="left"/>
    </xf>
    <xf numFmtId="0" fontId="0" fillId="0" borderId="0" xfId="0" applyAlignment="1"/>
    <xf numFmtId="0" fontId="0" fillId="0" borderId="0" xfId="0" quotePrefix="1" applyAlignment="1"/>
    <xf numFmtId="5" fontId="0" fillId="3" borderId="0" xfId="0" applyNumberFormat="1" applyFill="1" applyBorder="1" applyAlignment="1">
      <alignment horizontal="center"/>
    </xf>
    <xf numFmtId="0" fontId="0" fillId="0" borderId="0" xfId="0" applyBorder="1" applyAlignment="1">
      <alignment horizontal="center"/>
    </xf>
    <xf numFmtId="14" fontId="0" fillId="0" borderId="0" xfId="0" applyNumberFormat="1" applyFill="1"/>
    <xf numFmtId="14" fontId="0" fillId="0" borderId="0" xfId="0" quotePrefix="1" applyNumberFormat="1" applyAlignment="1">
      <alignment horizontal="right"/>
    </xf>
    <xf numFmtId="14" fontId="0" fillId="0" borderId="0" xfId="0" quotePrefix="1" applyNumberFormat="1" applyAlignment="1">
      <alignment horizontal="left"/>
    </xf>
    <xf numFmtId="0" fontId="0" fillId="0" borderId="0" xfId="0" applyBorder="1" applyAlignment="1">
      <alignment horizontal="right"/>
    </xf>
    <xf numFmtId="0" fontId="0" fillId="0" borderId="0" xfId="0" applyAlignment="1">
      <alignment wrapText="1"/>
    </xf>
    <xf numFmtId="0" fontId="3" fillId="5" borderId="10" xfId="0" applyFont="1" applyFill="1" applyBorder="1"/>
    <xf numFmtId="0" fontId="0" fillId="5" borderId="10" xfId="0" applyFont="1" applyFill="1" applyBorder="1"/>
    <xf numFmtId="0" fontId="2" fillId="0" borderId="0" xfId="0" applyFont="1" applyFill="1" applyBorder="1" applyAlignment="1">
      <alignment horizontal="center" wrapText="1"/>
    </xf>
    <xf numFmtId="0" fontId="0" fillId="0" borderId="9" xfId="0" applyFont="1" applyFill="1" applyBorder="1" applyAlignment="1">
      <alignment horizontal="center"/>
    </xf>
    <xf numFmtId="0" fontId="0" fillId="3" borderId="0" xfId="0" applyFill="1" applyAlignment="1">
      <alignment wrapText="1"/>
    </xf>
    <xf numFmtId="44" fontId="0" fillId="0" borderId="0" xfId="3" applyFont="1"/>
    <xf numFmtId="165" fontId="0" fillId="0" borderId="7" xfId="0" applyNumberFormat="1" applyFill="1" applyBorder="1"/>
    <xf numFmtId="0" fontId="0" fillId="0" borderId="0" xfId="0" applyFont="1"/>
    <xf numFmtId="0" fontId="0" fillId="0" borderId="0" xfId="0" applyFont="1" applyAlignment="1">
      <alignment wrapText="1"/>
    </xf>
    <xf numFmtId="0" fontId="2" fillId="0" borderId="0" xfId="0" applyFont="1" applyAlignment="1">
      <alignment horizontal="center"/>
    </xf>
    <xf numFmtId="0" fontId="0" fillId="0" borderId="0" xfId="0" applyAlignment="1">
      <alignment horizontal="center"/>
    </xf>
    <xf numFmtId="167" fontId="0" fillId="0" borderId="15" xfId="3" applyNumberFormat="1" applyFont="1" applyBorder="1"/>
    <xf numFmtId="0" fontId="4" fillId="0" borderId="0" xfId="0" applyFont="1" applyAlignment="1">
      <alignment horizontal="center"/>
    </xf>
    <xf numFmtId="0" fontId="4" fillId="0" borderId="0" xfId="0" applyFont="1" applyAlignment="1">
      <alignment horizontal="center" wrapText="1"/>
    </xf>
    <xf numFmtId="0" fontId="3" fillId="0" borderId="0" xfId="0" applyFont="1" applyAlignment="1">
      <alignment horizontal="right"/>
    </xf>
    <xf numFmtId="5" fontId="0" fillId="0" borderId="0" xfId="3" applyNumberFormat="1" applyFont="1"/>
    <xf numFmtId="0" fontId="4" fillId="3" borderId="0" xfId="0" applyFont="1" applyFill="1"/>
    <xf numFmtId="0" fontId="0" fillId="2" borderId="0" xfId="0" applyFill="1"/>
    <xf numFmtId="0" fontId="0" fillId="0" borderId="0" xfId="0" applyAlignment="1">
      <alignment horizontal="left"/>
    </xf>
    <xf numFmtId="165" fontId="0" fillId="0" borderId="0" xfId="0" applyNumberFormat="1" applyBorder="1" applyAlignment="1">
      <alignment horizontal="right"/>
    </xf>
    <xf numFmtId="165" fontId="0" fillId="0" borderId="13" xfId="0" applyNumberFormat="1" applyFill="1" applyBorder="1"/>
    <xf numFmtId="165" fontId="0" fillId="6" borderId="0" xfId="0" applyNumberFormat="1" applyFill="1" applyAlignment="1">
      <alignment horizontal="right"/>
    </xf>
    <xf numFmtId="0" fontId="0" fillId="0" borderId="0" xfId="0" applyAlignment="1">
      <alignment horizontal="left" wrapText="1"/>
    </xf>
    <xf numFmtId="165" fontId="0" fillId="0" borderId="16" xfId="0" applyNumberFormat="1" applyBorder="1"/>
    <xf numFmtId="165" fontId="0" fillId="0" borderId="17" xfId="0" applyNumberFormat="1" applyFill="1" applyBorder="1"/>
    <xf numFmtId="0" fontId="2" fillId="0" borderId="0" xfId="0" applyFont="1" applyBorder="1" applyAlignment="1">
      <alignment horizontal="center"/>
    </xf>
    <xf numFmtId="0" fontId="0" fillId="0" borderId="14" xfId="0" applyBorder="1" applyAlignment="1">
      <alignment wrapText="1"/>
    </xf>
    <xf numFmtId="0" fontId="0" fillId="0" borderId="12" xfId="0" applyBorder="1"/>
    <xf numFmtId="0" fontId="0" fillId="0" borderId="2" xfId="0" quotePrefix="1" applyBorder="1" applyAlignment="1">
      <alignment horizontal="left" wrapText="1"/>
    </xf>
    <xf numFmtId="0" fontId="0" fillId="0" borderId="9" xfId="0" applyBorder="1" applyAlignment="1">
      <alignment horizontal="center"/>
    </xf>
    <xf numFmtId="0" fontId="0" fillId="0" borderId="0" xfId="0" applyBorder="1" applyAlignment="1">
      <alignment horizontal="center"/>
    </xf>
    <xf numFmtId="0" fontId="0" fillId="2" borderId="0" xfId="0" applyFill="1" applyAlignment="1">
      <alignment horizontal="left" wrapText="1"/>
    </xf>
    <xf numFmtId="0" fontId="2" fillId="0" borderId="9" xfId="0" applyFont="1" applyBorder="1" applyAlignment="1">
      <alignment horizontal="center"/>
    </xf>
    <xf numFmtId="0" fontId="2" fillId="0" borderId="10" xfId="0" applyFont="1" applyBorder="1" applyAlignment="1">
      <alignment horizontal="center"/>
    </xf>
    <xf numFmtId="0" fontId="2" fillId="0" borderId="18" xfId="0" applyFont="1" applyBorder="1" applyAlignment="1">
      <alignment horizontal="center"/>
    </xf>
    <xf numFmtId="0" fontId="2" fillId="0" borderId="9" xfId="0" quotePrefix="1" applyFont="1" applyBorder="1" applyAlignment="1">
      <alignment horizontal="center" wrapText="1"/>
    </xf>
    <xf numFmtId="0" fontId="0" fillId="0" borderId="0" xfId="0" quotePrefix="1" applyAlignment="1">
      <alignment horizontal="left" wrapText="1"/>
    </xf>
    <xf numFmtId="0" fontId="0" fillId="5" borderId="10" xfId="0" applyFont="1" applyFill="1" applyBorder="1" applyAlignment="1">
      <alignment horizontal="center"/>
    </xf>
    <xf numFmtId="0" fontId="0" fillId="4" borderId="9" xfId="0" applyFont="1" applyFill="1" applyBorder="1" applyAlignment="1">
      <alignment horizontal="center"/>
    </xf>
    <xf numFmtId="0" fontId="0" fillId="3" borderId="9" xfId="0" applyFont="1" applyFill="1" applyBorder="1" applyAlignment="1">
      <alignment horizontal="center"/>
    </xf>
    <xf numFmtId="0" fontId="0" fillId="6" borderId="9" xfId="0" applyFont="1" applyFill="1" applyBorder="1" applyAlignment="1">
      <alignment horizontal="center"/>
    </xf>
    <xf numFmtId="0" fontId="4" fillId="5" borderId="0" xfId="0" applyFont="1" applyFill="1" applyAlignment="1">
      <alignment horizontal="left" wrapText="1"/>
    </xf>
    <xf numFmtId="0" fontId="4" fillId="4" borderId="0" xfId="0" applyFont="1" applyFill="1" applyAlignment="1">
      <alignment horizontal="left" wrapText="1"/>
    </xf>
    <xf numFmtId="0" fontId="0" fillId="0" borderId="9" xfId="0" applyFont="1" applyFill="1" applyBorder="1" applyAlignment="1">
      <alignment horizontal="center"/>
    </xf>
    <xf numFmtId="0" fontId="0" fillId="0" borderId="0" xfId="0" applyAlignment="1">
      <alignment horizontal="left" wrapText="1"/>
    </xf>
  </cellXfs>
  <cellStyles count="4">
    <cellStyle name="Comma" xfId="1" builtinId="3"/>
    <cellStyle name="Currency" xfId="3"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88"/>
  <sheetViews>
    <sheetView tabSelected="1" workbookViewId="0">
      <selection activeCell="G63" sqref="G63:G64"/>
    </sheetView>
  </sheetViews>
  <sheetFormatPr defaultRowHeight="15" x14ac:dyDescent="0.25"/>
  <cols>
    <col min="1" max="1" width="41.7109375" bestFit="1" customWidth="1"/>
    <col min="2" max="2" width="13.85546875" customWidth="1"/>
    <col min="3" max="3" width="16.85546875" style="8" bestFit="1" customWidth="1"/>
    <col min="4" max="4" width="14.7109375" style="8" customWidth="1"/>
    <col min="5" max="5" width="12.5703125" style="8" bestFit="1" customWidth="1"/>
    <col min="7" max="7" width="10.140625" bestFit="1" customWidth="1"/>
    <col min="8" max="8" width="12.140625" customWidth="1"/>
    <col min="9" max="9" width="10" bestFit="1" customWidth="1"/>
    <col min="11" max="11" width="10" bestFit="1" customWidth="1"/>
  </cols>
  <sheetData>
    <row r="1" spans="1:8" x14ac:dyDescent="0.25">
      <c r="A1" s="23" t="s">
        <v>26</v>
      </c>
      <c r="B1" s="23"/>
      <c r="C1" s="112"/>
    </row>
    <row r="2" spans="1:8" x14ac:dyDescent="0.25">
      <c r="A2" s="23" t="s">
        <v>27</v>
      </c>
      <c r="B2" s="23"/>
      <c r="C2" s="112"/>
    </row>
    <row r="3" spans="1:8" x14ac:dyDescent="0.25">
      <c r="A3" s="23" t="s">
        <v>79</v>
      </c>
      <c r="B3" s="23"/>
      <c r="C3" s="112"/>
      <c r="D3" s="22"/>
    </row>
    <row r="4" spans="1:8" x14ac:dyDescent="0.25">
      <c r="A4" s="29" t="s">
        <v>87</v>
      </c>
    </row>
    <row r="5" spans="1:8" x14ac:dyDescent="0.25">
      <c r="D5" s="111" t="s">
        <v>70</v>
      </c>
      <c r="E5" s="111"/>
    </row>
    <row r="6" spans="1:8" x14ac:dyDescent="0.25">
      <c r="A6" t="s">
        <v>0</v>
      </c>
      <c r="C6" s="12">
        <v>16450641</v>
      </c>
      <c r="D6" s="8" t="s">
        <v>71</v>
      </c>
    </row>
    <row r="7" spans="1:8" x14ac:dyDescent="0.25">
      <c r="A7" t="s">
        <v>1</v>
      </c>
      <c r="C7" s="12">
        <v>16863917</v>
      </c>
      <c r="D7" s="8" t="s">
        <v>71</v>
      </c>
    </row>
    <row r="8" spans="1:8" x14ac:dyDescent="0.25">
      <c r="A8" t="s">
        <v>2</v>
      </c>
      <c r="C8" s="19">
        <v>3.5019999999999999E-3</v>
      </c>
      <c r="D8" s="8" t="s">
        <v>72</v>
      </c>
    </row>
    <row r="9" spans="1:8" x14ac:dyDescent="0.25">
      <c r="A9" t="s">
        <v>3</v>
      </c>
      <c r="C9" s="19">
        <v>3.2539999999999999E-3</v>
      </c>
      <c r="D9" s="8" t="s">
        <v>73</v>
      </c>
    </row>
    <row r="10" spans="1:8" x14ac:dyDescent="0.25">
      <c r="A10" t="s">
        <v>48</v>
      </c>
      <c r="C10" s="13">
        <v>1947868</v>
      </c>
      <c r="D10" s="8" t="s">
        <v>74</v>
      </c>
    </row>
    <row r="11" spans="1:8" x14ac:dyDescent="0.25">
      <c r="A11" t="s">
        <v>49</v>
      </c>
      <c r="C11" s="13">
        <v>4444949</v>
      </c>
      <c r="D11" s="8" t="s">
        <v>74</v>
      </c>
    </row>
    <row r="12" spans="1:8" x14ac:dyDescent="0.25">
      <c r="A12" s="37" t="s">
        <v>52</v>
      </c>
      <c r="C12" s="96">
        <v>1416094</v>
      </c>
      <c r="D12" s="115" t="s">
        <v>123</v>
      </c>
      <c r="E12" s="115"/>
      <c r="F12" s="115"/>
      <c r="G12" s="115"/>
      <c r="H12" s="115"/>
    </row>
    <row r="13" spans="1:8" x14ac:dyDescent="0.25">
      <c r="A13" s="37" t="s">
        <v>50</v>
      </c>
      <c r="C13" s="12">
        <v>1488293</v>
      </c>
      <c r="D13" s="8" t="s">
        <v>114</v>
      </c>
    </row>
    <row r="14" spans="1:8" x14ac:dyDescent="0.25">
      <c r="A14" t="s">
        <v>17</v>
      </c>
      <c r="C14" s="12">
        <v>2247919</v>
      </c>
      <c r="D14" s="8" t="s">
        <v>124</v>
      </c>
    </row>
    <row r="15" spans="1:8" x14ac:dyDescent="0.25">
      <c r="C15" s="12"/>
    </row>
    <row r="16" spans="1:8" x14ac:dyDescent="0.25">
      <c r="A16" s="30" t="s">
        <v>42</v>
      </c>
      <c r="C16" s="13"/>
    </row>
    <row r="17" spans="1:12" x14ac:dyDescent="0.25">
      <c r="A17" t="s">
        <v>4</v>
      </c>
      <c r="B17" s="7" t="s">
        <v>28</v>
      </c>
      <c r="C17" s="12">
        <v>1133637</v>
      </c>
      <c r="D17" s="20" t="s">
        <v>47</v>
      </c>
    </row>
    <row r="18" spans="1:12" x14ac:dyDescent="0.25">
      <c r="A18" t="s">
        <v>5</v>
      </c>
      <c r="B18" t="s">
        <v>6</v>
      </c>
      <c r="C18" s="12">
        <v>1995536</v>
      </c>
      <c r="D18" s="20" t="s">
        <v>46</v>
      </c>
    </row>
    <row r="19" spans="1:12" x14ac:dyDescent="0.25">
      <c r="C19" s="12"/>
      <c r="D19" s="20"/>
    </row>
    <row r="20" spans="1:12" x14ac:dyDescent="0.25">
      <c r="A20" s="7" t="s">
        <v>41</v>
      </c>
      <c r="C20" s="14">
        <f>+C12</f>
        <v>1416094</v>
      </c>
    </row>
    <row r="21" spans="1:12" x14ac:dyDescent="0.25">
      <c r="A21" s="7" t="s">
        <v>112</v>
      </c>
      <c r="C21" s="21">
        <f>435115000*C9</f>
        <v>1415864.21</v>
      </c>
    </row>
    <row r="22" spans="1:12" x14ac:dyDescent="0.25">
      <c r="C22" s="13">
        <f>+C20-C21</f>
        <v>229.79000000003725</v>
      </c>
      <c r="D22" s="99" t="s">
        <v>91</v>
      </c>
      <c r="I22" s="1"/>
      <c r="K22" s="1"/>
      <c r="L22" s="1"/>
    </row>
    <row r="23" spans="1:12" x14ac:dyDescent="0.25">
      <c r="L23" s="1"/>
    </row>
    <row r="24" spans="1:12" x14ac:dyDescent="0.25">
      <c r="A24" s="2" t="s">
        <v>54</v>
      </c>
      <c r="D24" s="10" t="s">
        <v>9</v>
      </c>
      <c r="E24" s="10" t="s">
        <v>10</v>
      </c>
    </row>
    <row r="25" spans="1:12" x14ac:dyDescent="0.25">
      <c r="A25" t="s">
        <v>53</v>
      </c>
      <c r="B25" t="s">
        <v>8</v>
      </c>
      <c r="C25" s="8" t="s">
        <v>12</v>
      </c>
      <c r="D25" s="12">
        <f>C12</f>
        <v>1416094</v>
      </c>
      <c r="E25" s="12"/>
    </row>
    <row r="26" spans="1:12" x14ac:dyDescent="0.25">
      <c r="B26" t="s">
        <v>11</v>
      </c>
      <c r="C26" s="8" t="s">
        <v>13</v>
      </c>
      <c r="D26" s="12"/>
      <c r="E26" s="12">
        <f>+D25</f>
        <v>1416094</v>
      </c>
    </row>
    <row r="27" spans="1:12" x14ac:dyDescent="0.25">
      <c r="D27" s="12"/>
      <c r="E27" s="12"/>
    </row>
    <row r="28" spans="1:12" x14ac:dyDescent="0.25">
      <c r="A28" t="s">
        <v>55</v>
      </c>
      <c r="B28" s="37" t="s">
        <v>8</v>
      </c>
      <c r="C28" s="99" t="s">
        <v>13</v>
      </c>
      <c r="D28" s="100">
        <v>1596429</v>
      </c>
      <c r="E28" s="100"/>
    </row>
    <row r="29" spans="1:12" x14ac:dyDescent="0.25">
      <c r="B29" s="37" t="s">
        <v>15</v>
      </c>
      <c r="C29" s="99" t="s">
        <v>16</v>
      </c>
      <c r="D29" s="100">
        <v>399107</v>
      </c>
      <c r="E29" s="99"/>
    </row>
    <row r="30" spans="1:12" x14ac:dyDescent="0.25">
      <c r="B30" s="37" t="s">
        <v>11</v>
      </c>
      <c r="C30" s="99" t="s">
        <v>12</v>
      </c>
      <c r="D30" s="100"/>
      <c r="E30" s="100">
        <f>+D28+D29</f>
        <v>1995536</v>
      </c>
    </row>
    <row r="31" spans="1:12" x14ac:dyDescent="0.25">
      <c r="D31" s="12"/>
      <c r="E31" s="12"/>
    </row>
    <row r="32" spans="1:12" x14ac:dyDescent="0.25">
      <c r="A32" t="s">
        <v>56</v>
      </c>
      <c r="B32" t="s">
        <v>8</v>
      </c>
      <c r="C32" s="8" t="s">
        <v>12</v>
      </c>
      <c r="D32" s="12">
        <f>+E33+E34</f>
        <v>1133637</v>
      </c>
      <c r="E32" s="12"/>
    </row>
    <row r="33" spans="1:6" x14ac:dyDescent="0.25">
      <c r="B33" t="s">
        <v>11</v>
      </c>
      <c r="C33" s="8" t="s">
        <v>16</v>
      </c>
      <c r="D33" s="12"/>
      <c r="E33" s="12">
        <v>283409</v>
      </c>
    </row>
    <row r="34" spans="1:6" x14ac:dyDescent="0.25">
      <c r="B34" t="s">
        <v>11</v>
      </c>
      <c r="C34" s="8" t="s">
        <v>18</v>
      </c>
      <c r="D34" s="12"/>
      <c r="E34" s="12">
        <v>850228</v>
      </c>
    </row>
    <row r="35" spans="1:6" x14ac:dyDescent="0.25">
      <c r="D35" s="12"/>
      <c r="E35" s="12"/>
    </row>
    <row r="36" spans="1:6" x14ac:dyDescent="0.25">
      <c r="A36" s="35" t="s">
        <v>125</v>
      </c>
      <c r="B36" s="35" t="s">
        <v>8</v>
      </c>
      <c r="C36" s="35" t="s">
        <v>16</v>
      </c>
      <c r="D36" s="36">
        <f>+C14-D29+E33</f>
        <v>2132221</v>
      </c>
      <c r="E36" s="36"/>
    </row>
    <row r="37" spans="1:6" x14ac:dyDescent="0.25">
      <c r="A37" s="35"/>
      <c r="B37" s="35" t="s">
        <v>11</v>
      </c>
      <c r="C37" s="35" t="s">
        <v>12</v>
      </c>
      <c r="D37" s="36"/>
      <c r="E37" s="36">
        <f>+D36</f>
        <v>2132221</v>
      </c>
    </row>
    <row r="38" spans="1:6" x14ac:dyDescent="0.25">
      <c r="C38" s="99"/>
      <c r="D38" s="100"/>
      <c r="E38" s="100"/>
    </row>
    <row r="39" spans="1:6" ht="30" x14ac:dyDescent="0.25">
      <c r="A39" s="147" t="s">
        <v>82</v>
      </c>
      <c r="B39" s="35" t="s">
        <v>8</v>
      </c>
      <c r="C39" s="35" t="s">
        <v>18</v>
      </c>
      <c r="D39" s="36">
        <v>1111237</v>
      </c>
      <c r="E39" s="36"/>
    </row>
    <row r="40" spans="1:6" x14ac:dyDescent="0.25">
      <c r="A40" s="35"/>
      <c r="B40" s="35" t="s">
        <v>11</v>
      </c>
      <c r="C40" s="35" t="s">
        <v>13</v>
      </c>
      <c r="D40" s="36"/>
      <c r="E40" s="36">
        <f>84155+565134</f>
        <v>649289</v>
      </c>
    </row>
    <row r="41" spans="1:6" x14ac:dyDescent="0.25">
      <c r="A41" s="35"/>
      <c r="B41" s="35" t="s">
        <v>11</v>
      </c>
      <c r="C41" s="35" t="s">
        <v>29</v>
      </c>
      <c r="D41" s="36"/>
      <c r="E41" s="36">
        <v>461948</v>
      </c>
    </row>
    <row r="42" spans="1:6" x14ac:dyDescent="0.25">
      <c r="D42" s="9"/>
      <c r="E42" s="9"/>
    </row>
    <row r="43" spans="1:6" x14ac:dyDescent="0.25">
      <c r="A43" s="35" t="s">
        <v>102</v>
      </c>
      <c r="B43" s="35" t="s">
        <v>8</v>
      </c>
      <c r="C43" s="38" t="s">
        <v>12</v>
      </c>
      <c r="D43" s="36">
        <v>1164980</v>
      </c>
      <c r="E43" s="36"/>
      <c r="F43" s="142"/>
    </row>
    <row r="44" spans="1:6" x14ac:dyDescent="0.25">
      <c r="A44" s="35"/>
      <c r="B44" s="35" t="s">
        <v>8</v>
      </c>
      <c r="C44" s="38" t="s">
        <v>30</v>
      </c>
      <c r="D44" s="36">
        <v>314776</v>
      </c>
      <c r="E44" s="36"/>
      <c r="F44" s="142"/>
    </row>
    <row r="45" spans="1:6" x14ac:dyDescent="0.25">
      <c r="A45" s="35"/>
      <c r="B45" s="35" t="s">
        <v>11</v>
      </c>
      <c r="C45" s="38" t="s">
        <v>51</v>
      </c>
      <c r="D45" s="36"/>
      <c r="E45" s="36">
        <v>137942</v>
      </c>
    </row>
    <row r="46" spans="1:6" x14ac:dyDescent="0.25">
      <c r="A46" s="35"/>
      <c r="B46" s="35" t="s">
        <v>11</v>
      </c>
      <c r="C46" s="38" t="s">
        <v>29</v>
      </c>
      <c r="D46" s="36"/>
      <c r="E46" s="36">
        <v>335454</v>
      </c>
    </row>
    <row r="47" spans="1:6" x14ac:dyDescent="0.25">
      <c r="A47" s="35"/>
      <c r="B47" s="35" t="s">
        <v>11</v>
      </c>
      <c r="C47" s="38" t="s">
        <v>30</v>
      </c>
      <c r="D47" s="38"/>
      <c r="E47" s="36">
        <v>1006361</v>
      </c>
    </row>
    <row r="48" spans="1:6" x14ac:dyDescent="0.25">
      <c r="D48" s="12"/>
      <c r="E48" s="12"/>
    </row>
    <row r="49" spans="1:7" x14ac:dyDescent="0.25">
      <c r="A49" s="7" t="s">
        <v>103</v>
      </c>
      <c r="B49" t="s">
        <v>8</v>
      </c>
      <c r="C49" s="8" t="s">
        <v>29</v>
      </c>
      <c r="D49" s="12">
        <f>C22</f>
        <v>229.79000000003725</v>
      </c>
      <c r="E49" s="12"/>
    </row>
    <row r="50" spans="1:7" x14ac:dyDescent="0.25">
      <c r="B50" t="s">
        <v>11</v>
      </c>
      <c r="C50" s="8" t="s">
        <v>12</v>
      </c>
      <c r="D50" s="12"/>
      <c r="E50" s="12">
        <f>D49</f>
        <v>229.79000000003725</v>
      </c>
    </row>
    <row r="51" spans="1:7" x14ac:dyDescent="0.25">
      <c r="D51" s="12"/>
      <c r="E51" s="12"/>
    </row>
    <row r="52" spans="1:7" x14ac:dyDescent="0.25">
      <c r="A52" s="7" t="s">
        <v>104</v>
      </c>
      <c r="B52" t="s">
        <v>8</v>
      </c>
      <c r="C52" s="8" t="s">
        <v>13</v>
      </c>
      <c r="D52" s="12">
        <v>1488293</v>
      </c>
      <c r="E52" s="12"/>
    </row>
    <row r="53" spans="1:7" x14ac:dyDescent="0.25">
      <c r="B53" t="s">
        <v>11</v>
      </c>
      <c r="C53" s="8" t="s">
        <v>14</v>
      </c>
      <c r="D53" s="12"/>
      <c r="E53" s="12">
        <v>1488293</v>
      </c>
    </row>
    <row r="54" spans="1:7" x14ac:dyDescent="0.25">
      <c r="A54" s="142" t="s">
        <v>142</v>
      </c>
      <c r="D54" s="12"/>
      <c r="E54" s="12"/>
    </row>
    <row r="55" spans="1:7" x14ac:dyDescent="0.25">
      <c r="A55" s="35" t="s">
        <v>139</v>
      </c>
      <c r="B55" s="35" t="s">
        <v>8</v>
      </c>
      <c r="C55" s="36" t="s">
        <v>13</v>
      </c>
      <c r="D55" s="36">
        <v>45981</v>
      </c>
      <c r="E55" s="36"/>
    </row>
    <row r="56" spans="1:7" x14ac:dyDescent="0.25">
      <c r="A56" s="35" t="s">
        <v>140</v>
      </c>
      <c r="B56" s="35" t="s">
        <v>11</v>
      </c>
      <c r="C56" s="36" t="s">
        <v>30</v>
      </c>
      <c r="D56" s="36"/>
      <c r="E56" s="36">
        <v>78694</v>
      </c>
    </row>
    <row r="57" spans="1:7" x14ac:dyDescent="0.25">
      <c r="A57" s="35" t="s">
        <v>141</v>
      </c>
      <c r="B57" s="35" t="s">
        <v>8</v>
      </c>
      <c r="C57" s="36" t="s">
        <v>29</v>
      </c>
      <c r="D57" s="36">
        <v>32713</v>
      </c>
      <c r="E57" s="36"/>
    </row>
    <row r="58" spans="1:7" x14ac:dyDescent="0.25">
      <c r="A58" s="35" t="s">
        <v>143</v>
      </c>
      <c r="B58" s="35"/>
      <c r="C58" s="35"/>
      <c r="D58" s="35"/>
      <c r="E58" s="35"/>
    </row>
    <row r="59" spans="1:7" x14ac:dyDescent="0.25">
      <c r="A59" s="35" t="s">
        <v>144</v>
      </c>
      <c r="B59" s="35"/>
      <c r="C59" s="35"/>
      <c r="D59" s="35"/>
      <c r="E59" s="35"/>
    </row>
    <row r="60" spans="1:7" ht="15.75" thickBot="1" x14ac:dyDescent="0.3">
      <c r="D60" s="12"/>
      <c r="E60" s="12"/>
    </row>
    <row r="61" spans="1:7" x14ac:dyDescent="0.25">
      <c r="A61" s="5" t="s">
        <v>19</v>
      </c>
      <c r="B61" s="6" t="s">
        <v>25</v>
      </c>
      <c r="C61" s="32" t="s">
        <v>23</v>
      </c>
      <c r="D61" s="33" t="s">
        <v>43</v>
      </c>
      <c r="E61" s="11" t="s">
        <v>24</v>
      </c>
    </row>
    <row r="62" spans="1:7" x14ac:dyDescent="0.25">
      <c r="A62" s="3" t="s">
        <v>7</v>
      </c>
      <c r="B62" s="14">
        <f>C6-D25+E30-D32+E37-D43+E50</f>
        <v>16863916.789999999</v>
      </c>
      <c r="C62" s="15">
        <v>5182519000</v>
      </c>
      <c r="D62" s="15">
        <f>+C62*$C$9</f>
        <v>16863916.826000001</v>
      </c>
      <c r="E62" s="16">
        <f>+D62-B62</f>
        <v>3.6000002175569534E-2</v>
      </c>
    </row>
    <row r="63" spans="1:7" x14ac:dyDescent="0.25">
      <c r="A63" s="3" t="s">
        <v>20</v>
      </c>
      <c r="B63" s="125">
        <f>+C10+C12-E26+D28-E40-E45+D52+D55</f>
        <v>4291340</v>
      </c>
      <c r="C63" s="15">
        <v>490605000</v>
      </c>
      <c r="D63" s="15">
        <f>+C63*$C$9</f>
        <v>1596428.67</v>
      </c>
      <c r="E63" s="16">
        <f>+D63-B63</f>
        <v>-2694911.33</v>
      </c>
      <c r="G63" s="13"/>
    </row>
    <row r="64" spans="1:7" x14ac:dyDescent="0.25">
      <c r="A64" s="3" t="s">
        <v>21</v>
      </c>
      <c r="B64" s="125">
        <f>C11+E34-D39-D44+E56+E47</f>
        <v>4954219</v>
      </c>
      <c r="C64" s="15">
        <v>261287000</v>
      </c>
      <c r="D64" s="15">
        <f>+C64*$C$9</f>
        <v>850227.89799999993</v>
      </c>
      <c r="E64" s="16">
        <f>+D64-B64</f>
        <v>-4103991.102</v>
      </c>
      <c r="G64" s="13"/>
    </row>
    <row r="65" spans="1:8" ht="15.75" thickBot="1" x14ac:dyDescent="0.3">
      <c r="A65" s="4" t="s">
        <v>22</v>
      </c>
      <c r="B65" s="149">
        <f>+D29-E33+D36-E41-E46+D49+D57</f>
        <v>1483459.79</v>
      </c>
      <c r="C65" s="17">
        <v>690817000</v>
      </c>
      <c r="D65" s="17">
        <f>+C65*$C$9</f>
        <v>2247918.5180000002</v>
      </c>
      <c r="E65" s="18">
        <f>+D65-B65</f>
        <v>764458.72800000012</v>
      </c>
    </row>
    <row r="66" spans="1:8" s="31" customFormat="1" ht="46.5" customHeight="1" x14ac:dyDescent="0.25">
      <c r="A66" s="171" t="s">
        <v>126</v>
      </c>
      <c r="B66" s="171"/>
      <c r="C66" s="171"/>
      <c r="D66" s="171"/>
      <c r="E66" s="171"/>
      <c r="F66"/>
      <c r="G66"/>
      <c r="H66"/>
    </row>
    <row r="67" spans="1:8" x14ac:dyDescent="0.25">
      <c r="A67" s="142"/>
      <c r="B67" s="142"/>
      <c r="C67" s="142"/>
      <c r="D67" s="142"/>
      <c r="E67" s="142"/>
    </row>
    <row r="68" spans="1:8" x14ac:dyDescent="0.25">
      <c r="A68" s="142"/>
      <c r="B68" s="142"/>
      <c r="C68" s="142"/>
      <c r="D68" s="142"/>
      <c r="E68" s="142"/>
    </row>
    <row r="69" spans="1:8" x14ac:dyDescent="0.25">
      <c r="D69" s="9"/>
      <c r="E69" s="9"/>
    </row>
    <row r="70" spans="1:8" x14ac:dyDescent="0.25">
      <c r="D70" s="9"/>
      <c r="E70" s="9"/>
    </row>
    <row r="71" spans="1:8" x14ac:dyDescent="0.25">
      <c r="D71" s="9"/>
      <c r="E71" s="9"/>
    </row>
    <row r="72" spans="1:8" x14ac:dyDescent="0.25">
      <c r="D72" s="9"/>
      <c r="E72" s="9"/>
    </row>
    <row r="73" spans="1:8" x14ac:dyDescent="0.25">
      <c r="D73" s="9"/>
      <c r="E73" s="9"/>
    </row>
    <row r="74" spans="1:8" x14ac:dyDescent="0.25">
      <c r="D74" s="9"/>
      <c r="E74" s="9"/>
    </row>
    <row r="75" spans="1:8" x14ac:dyDescent="0.25">
      <c r="D75" s="9"/>
      <c r="E75" s="9"/>
    </row>
    <row r="76" spans="1:8" x14ac:dyDescent="0.25">
      <c r="D76" s="9"/>
      <c r="E76" s="9"/>
    </row>
    <row r="77" spans="1:8" x14ac:dyDescent="0.25">
      <c r="D77" s="9"/>
      <c r="E77" s="9"/>
    </row>
    <row r="78" spans="1:8" x14ac:dyDescent="0.25">
      <c r="D78" s="9"/>
      <c r="E78" s="9"/>
    </row>
    <row r="79" spans="1:8" x14ac:dyDescent="0.25">
      <c r="D79" s="9"/>
      <c r="E79" s="9"/>
    </row>
    <row r="80" spans="1:8" x14ac:dyDescent="0.25">
      <c r="D80" s="9"/>
      <c r="E80" s="9"/>
    </row>
    <row r="81" spans="4:5" x14ac:dyDescent="0.25">
      <c r="D81" s="9"/>
      <c r="E81" s="9"/>
    </row>
    <row r="82" spans="4:5" x14ac:dyDescent="0.25">
      <c r="D82" s="9"/>
      <c r="E82" s="9"/>
    </row>
    <row r="83" spans="4:5" x14ac:dyDescent="0.25">
      <c r="D83" s="9"/>
      <c r="E83" s="9"/>
    </row>
    <row r="84" spans="4:5" x14ac:dyDescent="0.25">
      <c r="D84" s="9"/>
      <c r="E84" s="9"/>
    </row>
    <row r="85" spans="4:5" x14ac:dyDescent="0.25">
      <c r="D85" s="9"/>
      <c r="E85" s="9"/>
    </row>
    <row r="86" spans="4:5" x14ac:dyDescent="0.25">
      <c r="D86" s="9"/>
      <c r="E86" s="9"/>
    </row>
    <row r="87" spans="4:5" x14ac:dyDescent="0.25">
      <c r="D87" s="9"/>
      <c r="E87" s="9"/>
    </row>
    <row r="88" spans="4:5" x14ac:dyDescent="0.25">
      <c r="D88" s="9"/>
      <c r="E88" s="9"/>
    </row>
  </sheetData>
  <mergeCells count="1">
    <mergeCell ref="A66:E66"/>
  </mergeCells>
  <pageMargins left="0.7" right="0.7" top="0.75" bottom="0.75" header="0.3" footer="0.3"/>
  <pageSetup scale="5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workbookViewId="0">
      <selection activeCell="G11" sqref="G11"/>
    </sheetView>
  </sheetViews>
  <sheetFormatPr defaultRowHeight="15" x14ac:dyDescent="0.25"/>
  <cols>
    <col min="1" max="1" width="5.85546875" customWidth="1"/>
    <col min="2" max="2" width="11" customWidth="1"/>
    <col min="3" max="3" width="11.140625" bestFit="1" customWidth="1"/>
    <col min="4" max="4" width="10.7109375" bestFit="1" customWidth="1"/>
    <col min="5" max="5" width="4.85546875" customWidth="1"/>
    <col min="6" max="6" width="10.7109375" bestFit="1" customWidth="1"/>
    <col min="7" max="7" width="11" customWidth="1"/>
    <col min="8" max="8" width="10.140625" bestFit="1" customWidth="1"/>
    <col min="10" max="10" width="6.28515625" customWidth="1"/>
    <col min="11" max="11" width="11" customWidth="1"/>
    <col min="12" max="12" width="11.85546875" customWidth="1"/>
    <col min="13" max="13" width="10.7109375" bestFit="1" customWidth="1"/>
    <col min="15" max="15" width="11.85546875" customWidth="1"/>
    <col min="16" max="16" width="12" customWidth="1"/>
  </cols>
  <sheetData>
    <row r="1" spans="1:17" x14ac:dyDescent="0.25">
      <c r="A1" s="23" t="s">
        <v>26</v>
      </c>
      <c r="B1" s="23"/>
      <c r="C1" s="112"/>
      <c r="D1" s="112"/>
    </row>
    <row r="2" spans="1:17" x14ac:dyDescent="0.25">
      <c r="A2" s="23" t="s">
        <v>27</v>
      </c>
      <c r="B2" s="23"/>
      <c r="C2" s="112"/>
      <c r="D2" s="112"/>
    </row>
    <row r="3" spans="1:17" x14ac:dyDescent="0.25">
      <c r="A3" s="23" t="s">
        <v>97</v>
      </c>
      <c r="B3" s="23"/>
      <c r="C3" s="112"/>
      <c r="D3" s="112"/>
    </row>
    <row r="4" spans="1:17" x14ac:dyDescent="0.25">
      <c r="A4" s="29" t="s">
        <v>87</v>
      </c>
      <c r="C4" s="8"/>
      <c r="D4" s="8"/>
    </row>
    <row r="6" spans="1:17" x14ac:dyDescent="0.25">
      <c r="B6" s="172" t="s">
        <v>61</v>
      </c>
      <c r="C6" s="172"/>
      <c r="D6" s="137"/>
      <c r="G6" s="172" t="s">
        <v>92</v>
      </c>
      <c r="H6" s="172"/>
      <c r="K6" s="172" t="s">
        <v>93</v>
      </c>
      <c r="L6" s="172"/>
      <c r="O6" s="14"/>
      <c r="P6" s="14"/>
    </row>
    <row r="7" spans="1:17" x14ac:dyDescent="0.25">
      <c r="A7" s="122" t="s">
        <v>95</v>
      </c>
      <c r="B7" s="123">
        <v>1416094</v>
      </c>
      <c r="C7" s="124">
        <v>16450641</v>
      </c>
      <c r="D7" s="138">
        <v>42186</v>
      </c>
      <c r="E7" s="122"/>
      <c r="F7" s="139">
        <v>42186</v>
      </c>
      <c r="G7" s="123">
        <v>3363962</v>
      </c>
      <c r="H7" s="125">
        <v>1416094</v>
      </c>
      <c r="I7" s="7" t="s">
        <v>95</v>
      </c>
      <c r="J7" s="122" t="s">
        <v>94</v>
      </c>
      <c r="K7" s="126">
        <v>1111237</v>
      </c>
      <c r="L7" s="124">
        <v>4444949</v>
      </c>
      <c r="M7" s="140">
        <v>42186</v>
      </c>
      <c r="N7" s="127"/>
      <c r="O7" s="14"/>
      <c r="P7" s="14"/>
      <c r="Q7" s="7"/>
    </row>
    <row r="8" spans="1:17" x14ac:dyDescent="0.25">
      <c r="A8" s="122" t="s">
        <v>99</v>
      </c>
      <c r="B8" s="123">
        <v>1133637</v>
      </c>
      <c r="C8" s="124">
        <v>1995536</v>
      </c>
      <c r="D8" s="124" t="s">
        <v>98</v>
      </c>
      <c r="E8" s="127"/>
      <c r="F8" s="122" t="s">
        <v>98</v>
      </c>
      <c r="G8" s="123">
        <v>1596429</v>
      </c>
      <c r="H8" s="13">
        <v>649289</v>
      </c>
      <c r="I8" t="s">
        <v>94</v>
      </c>
      <c r="J8" s="127" t="s">
        <v>113</v>
      </c>
      <c r="K8" s="126">
        <v>314776</v>
      </c>
      <c r="L8" s="13">
        <v>850228</v>
      </c>
      <c r="M8" t="s">
        <v>99</v>
      </c>
      <c r="O8" s="14"/>
      <c r="P8" s="14"/>
    </row>
    <row r="9" spans="1:17" x14ac:dyDescent="0.25">
      <c r="A9" s="122" t="s">
        <v>113</v>
      </c>
      <c r="B9" s="123">
        <v>1164980</v>
      </c>
      <c r="C9" s="124">
        <v>2132221</v>
      </c>
      <c r="D9" s="124" t="s">
        <v>100</v>
      </c>
      <c r="E9" s="127"/>
      <c r="F9" s="122" t="s">
        <v>110</v>
      </c>
      <c r="G9" s="123">
        <v>1488293</v>
      </c>
      <c r="H9" s="13">
        <v>137942</v>
      </c>
      <c r="I9" t="s">
        <v>113</v>
      </c>
      <c r="K9" s="126"/>
      <c r="L9" s="14">
        <v>1006361</v>
      </c>
      <c r="M9" s="161" t="s">
        <v>113</v>
      </c>
      <c r="O9" s="14"/>
      <c r="P9" s="14"/>
    </row>
    <row r="10" spans="1:17" x14ac:dyDescent="0.25">
      <c r="A10" s="127"/>
      <c r="B10" s="128"/>
      <c r="C10" s="167">
        <v>230</v>
      </c>
      <c r="D10" s="124" t="s">
        <v>96</v>
      </c>
      <c r="E10" s="127"/>
      <c r="F10" s="122" t="s">
        <v>138</v>
      </c>
      <c r="G10" s="163">
        <v>45981</v>
      </c>
      <c r="H10" s="21"/>
      <c r="K10" s="128"/>
      <c r="L10" s="21">
        <v>78694</v>
      </c>
      <c r="M10" t="s">
        <v>138</v>
      </c>
      <c r="O10" s="14"/>
      <c r="P10" s="14"/>
    </row>
    <row r="11" spans="1:17" x14ac:dyDescent="0.25">
      <c r="B11" s="14"/>
      <c r="C11" s="166">
        <f>+C7+C8+C9+C10-B7-B8-B9</f>
        <v>16863917</v>
      </c>
      <c r="D11" s="13"/>
      <c r="G11" s="126">
        <f>+G7+G8+G9+G10-H7-H8-H9</f>
        <v>4291340</v>
      </c>
      <c r="H11" s="13"/>
      <c r="K11" s="126"/>
      <c r="L11" s="13">
        <f>+L7+L8+L9-K7-K8+L10</f>
        <v>4954219</v>
      </c>
      <c r="O11" s="14"/>
      <c r="P11" s="14"/>
    </row>
    <row r="13" spans="1:17" x14ac:dyDescent="0.25">
      <c r="B13" s="173" t="s">
        <v>29</v>
      </c>
      <c r="C13" s="173"/>
      <c r="D13" s="137"/>
      <c r="G13" s="27"/>
      <c r="H13" s="132"/>
      <c r="K13" s="125"/>
      <c r="L13" s="125"/>
      <c r="M13" s="129"/>
      <c r="N13" s="129"/>
    </row>
    <row r="14" spans="1:17" x14ac:dyDescent="0.25">
      <c r="A14" s="122"/>
      <c r="B14" s="130">
        <v>1488293</v>
      </c>
      <c r="C14" s="131">
        <v>283409</v>
      </c>
      <c r="D14" s="14" t="s">
        <v>99</v>
      </c>
      <c r="G14" s="27"/>
      <c r="H14" s="132"/>
      <c r="I14" s="133"/>
      <c r="J14" s="133"/>
      <c r="K14" s="125"/>
      <c r="L14" s="125"/>
      <c r="M14" s="7"/>
    </row>
    <row r="15" spans="1:17" x14ac:dyDescent="0.25">
      <c r="A15" s="141" t="s">
        <v>98</v>
      </c>
      <c r="B15" s="126">
        <v>399107</v>
      </c>
      <c r="C15" s="14">
        <v>461948</v>
      </c>
      <c r="D15" s="14" t="s">
        <v>94</v>
      </c>
      <c r="E15" s="13"/>
      <c r="G15" s="27"/>
      <c r="H15" s="27"/>
      <c r="I15" s="27"/>
      <c r="J15" s="27"/>
      <c r="K15" s="14"/>
      <c r="L15" s="14"/>
    </row>
    <row r="16" spans="1:17" x14ac:dyDescent="0.25">
      <c r="A16" s="127" t="s">
        <v>100</v>
      </c>
      <c r="B16" s="126">
        <v>2132221</v>
      </c>
      <c r="C16" s="14">
        <v>335454</v>
      </c>
      <c r="D16" s="14" t="s">
        <v>113</v>
      </c>
      <c r="G16" s="27"/>
      <c r="H16" s="27"/>
      <c r="I16" s="27"/>
      <c r="J16" s="27"/>
      <c r="K16" s="14"/>
      <c r="L16" s="14"/>
    </row>
    <row r="17" spans="1:17" x14ac:dyDescent="0.25">
      <c r="A17" s="127" t="s">
        <v>96</v>
      </c>
      <c r="B17" s="126">
        <v>230</v>
      </c>
      <c r="C17" s="14">
        <v>1488293</v>
      </c>
      <c r="D17" s="14" t="s">
        <v>110</v>
      </c>
      <c r="G17" s="27"/>
      <c r="H17" s="27"/>
      <c r="I17" s="27"/>
      <c r="J17" s="27"/>
      <c r="K17" s="14"/>
      <c r="L17" s="14"/>
    </row>
    <row r="18" spans="1:17" x14ac:dyDescent="0.25">
      <c r="A18" s="162" t="s">
        <v>138</v>
      </c>
      <c r="B18" s="128">
        <v>32713</v>
      </c>
      <c r="C18" s="21"/>
      <c r="G18" s="27"/>
      <c r="H18" s="27"/>
      <c r="I18" s="27"/>
      <c r="J18" s="27"/>
      <c r="K18" s="14"/>
      <c r="L18" s="14"/>
    </row>
    <row r="19" spans="1:17" x14ac:dyDescent="0.25">
      <c r="B19" s="126">
        <f>+B14+B15+B16+B17+B18-C14-C15-C16-C17</f>
        <v>1483460</v>
      </c>
      <c r="C19" s="13"/>
      <c r="D19" s="13"/>
      <c r="G19" s="27"/>
      <c r="H19" s="14"/>
      <c r="I19" s="27"/>
      <c r="J19" s="27"/>
      <c r="K19" s="14"/>
      <c r="L19" s="14"/>
    </row>
    <row r="20" spans="1:17" x14ac:dyDescent="0.25">
      <c r="I20" s="27"/>
      <c r="J20" s="27"/>
      <c r="K20" s="14"/>
      <c r="L20" s="14"/>
    </row>
    <row r="21" spans="1:17" x14ac:dyDescent="0.25">
      <c r="B21" s="29" t="s">
        <v>122</v>
      </c>
    </row>
    <row r="22" spans="1:17" x14ac:dyDescent="0.25">
      <c r="B22" s="7" t="s">
        <v>108</v>
      </c>
    </row>
    <row r="23" spans="1:17" x14ac:dyDescent="0.25">
      <c r="B23" s="7" t="s">
        <v>109</v>
      </c>
    </row>
    <row r="24" spans="1:17" x14ac:dyDescent="0.25">
      <c r="B24" s="7" t="s">
        <v>107</v>
      </c>
    </row>
    <row r="25" spans="1:17" x14ac:dyDescent="0.25">
      <c r="B25" s="7" t="s">
        <v>105</v>
      </c>
    </row>
    <row r="26" spans="1:17" x14ac:dyDescent="0.25">
      <c r="B26" s="7" t="s">
        <v>101</v>
      </c>
    </row>
    <row r="27" spans="1:17" x14ac:dyDescent="0.25">
      <c r="A27" s="134"/>
      <c r="B27" s="7" t="s">
        <v>106</v>
      </c>
      <c r="C27" s="135"/>
      <c r="D27" s="135"/>
      <c r="E27" s="135"/>
      <c r="F27" s="135"/>
      <c r="G27" s="135"/>
      <c r="H27" s="135"/>
      <c r="I27" s="135"/>
      <c r="J27" s="135"/>
      <c r="K27" s="135"/>
      <c r="L27" s="134"/>
      <c r="M27" s="134"/>
      <c r="N27" s="134"/>
      <c r="O27" s="134"/>
      <c r="P27" s="134"/>
      <c r="Q27" s="134"/>
    </row>
    <row r="28" spans="1:17" x14ac:dyDescent="0.25">
      <c r="B28" s="7" t="s">
        <v>115</v>
      </c>
      <c r="C28" s="135"/>
      <c r="D28" s="135"/>
      <c r="E28" s="135"/>
      <c r="F28" s="135"/>
      <c r="G28" s="135"/>
      <c r="H28" s="135"/>
      <c r="I28" s="135"/>
      <c r="J28" s="135"/>
      <c r="K28" s="135"/>
    </row>
    <row r="29" spans="1:17" x14ac:dyDescent="0.25">
      <c r="B29" s="7" t="s">
        <v>116</v>
      </c>
      <c r="C29" s="135"/>
      <c r="D29" s="135"/>
      <c r="E29" s="135"/>
      <c r="F29" s="135"/>
      <c r="G29" s="135"/>
      <c r="H29" s="135"/>
      <c r="I29" s="135"/>
      <c r="J29" s="135"/>
      <c r="K29" s="135"/>
    </row>
    <row r="30" spans="1:17" x14ac:dyDescent="0.25">
      <c r="B30" t="s">
        <v>111</v>
      </c>
    </row>
    <row r="31" spans="1:17" ht="15" customHeight="1" x14ac:dyDescent="0.25">
      <c r="B31" s="161" t="s">
        <v>152</v>
      </c>
      <c r="C31" s="161"/>
      <c r="D31" s="161"/>
      <c r="E31" s="161"/>
      <c r="F31" s="161"/>
      <c r="G31" s="161"/>
      <c r="H31" s="161"/>
      <c r="I31" s="161"/>
      <c r="J31" s="161"/>
      <c r="K31" s="161"/>
    </row>
    <row r="32" spans="1:17" x14ac:dyDescent="0.25">
      <c r="B32" s="161"/>
      <c r="C32" s="161"/>
      <c r="D32" s="161"/>
      <c r="E32" s="161"/>
      <c r="F32" s="161"/>
      <c r="G32" s="161"/>
      <c r="H32" s="161"/>
      <c r="I32" s="161"/>
      <c r="J32" s="161"/>
      <c r="K32" s="161"/>
    </row>
    <row r="33" spans="2:11" x14ac:dyDescent="0.25">
      <c r="B33" s="161"/>
      <c r="C33" s="161"/>
      <c r="D33" s="161"/>
      <c r="E33" s="161"/>
      <c r="F33" s="161"/>
      <c r="G33" s="161"/>
      <c r="H33" s="161"/>
      <c r="I33" s="161"/>
      <c r="J33" s="161"/>
      <c r="K33" s="161"/>
    </row>
  </sheetData>
  <mergeCells count="4">
    <mergeCell ref="B6:C6"/>
    <mergeCell ref="G6:H6"/>
    <mergeCell ref="K6:L6"/>
    <mergeCell ref="B13:C13"/>
  </mergeCells>
  <pageMargins left="0.7" right="0.7" top="0.75" bottom="0.75" header="0.3" footer="0.3"/>
  <pageSetup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
  <sheetViews>
    <sheetView workbookViewId="0">
      <selection activeCell="J14" sqref="J14"/>
    </sheetView>
  </sheetViews>
  <sheetFormatPr defaultRowHeight="15" x14ac:dyDescent="0.25"/>
  <cols>
    <col min="3" max="3" width="11.28515625" customWidth="1"/>
    <col min="4" max="4" width="21.140625" customWidth="1"/>
    <col min="6" max="6" width="16.5703125" customWidth="1"/>
    <col min="7" max="7" width="1.85546875" customWidth="1"/>
    <col min="9" max="9" width="17.28515625" customWidth="1"/>
    <col min="10" max="10" width="1.85546875" customWidth="1"/>
    <col min="12" max="12" width="12.28515625" bestFit="1" customWidth="1"/>
    <col min="13" max="13" width="2.28515625" customWidth="1"/>
    <col min="14" max="14" width="10.7109375" bestFit="1" customWidth="1"/>
    <col min="15" max="15" width="13.42578125" bestFit="1" customWidth="1"/>
    <col min="16" max="16" width="10.7109375" customWidth="1"/>
  </cols>
  <sheetData>
    <row r="1" spans="1:15" x14ac:dyDescent="0.25">
      <c r="A1" s="23" t="s">
        <v>80</v>
      </c>
      <c r="B1" s="23"/>
      <c r="C1" s="23"/>
      <c r="D1" s="23"/>
    </row>
    <row r="2" spans="1:15" x14ac:dyDescent="0.25">
      <c r="A2" s="23" t="s">
        <v>81</v>
      </c>
      <c r="B2" s="23"/>
      <c r="C2" s="23"/>
      <c r="D2" s="23"/>
    </row>
    <row r="3" spans="1:15" x14ac:dyDescent="0.25">
      <c r="A3" s="23" t="s">
        <v>85</v>
      </c>
      <c r="B3" s="23"/>
      <c r="C3" s="23"/>
      <c r="D3" s="23"/>
    </row>
    <row r="4" spans="1:15" x14ac:dyDescent="0.25">
      <c r="A4" t="s">
        <v>147</v>
      </c>
    </row>
    <row r="5" spans="1:15" x14ac:dyDescent="0.25">
      <c r="K5" s="175" t="s">
        <v>62</v>
      </c>
      <c r="L5" s="175"/>
      <c r="M5" s="175"/>
      <c r="N5" s="175"/>
      <c r="O5" s="175"/>
    </row>
    <row r="6" spans="1:15" ht="30" x14ac:dyDescent="0.25">
      <c r="D6" s="109" t="s">
        <v>69</v>
      </c>
      <c r="E6" s="175" t="s">
        <v>63</v>
      </c>
      <c r="F6" s="175"/>
      <c r="G6" s="27"/>
      <c r="H6" s="175" t="s">
        <v>64</v>
      </c>
      <c r="I6" s="175"/>
      <c r="K6" s="176" t="s">
        <v>75</v>
      </c>
      <c r="L6" s="176"/>
      <c r="M6" s="23"/>
      <c r="N6" s="176" t="s">
        <v>76</v>
      </c>
      <c r="O6" s="176"/>
    </row>
    <row r="7" spans="1:15" x14ac:dyDescent="0.25">
      <c r="A7" t="s">
        <v>59</v>
      </c>
      <c r="D7" s="102">
        <v>556216000</v>
      </c>
      <c r="E7">
        <v>3.5019999999999999E-3</v>
      </c>
      <c r="F7" s="102">
        <f>+D7*E7</f>
        <v>1947868.432</v>
      </c>
      <c r="G7" s="102"/>
      <c r="H7">
        <v>3.2539999999999999E-3</v>
      </c>
      <c r="I7" s="102">
        <f>+D7*H7</f>
        <v>1809926.8640000001</v>
      </c>
      <c r="L7" s="104">
        <f>+I7-F7</f>
        <v>-137941.56799999997</v>
      </c>
    </row>
    <row r="8" spans="1:15" x14ac:dyDescent="0.25">
      <c r="A8" t="s">
        <v>60</v>
      </c>
      <c r="D8" s="102">
        <v>1269260000</v>
      </c>
      <c r="E8">
        <v>3.5019999999999999E-3</v>
      </c>
      <c r="F8" s="102">
        <f t="shared" ref="F8:F9" si="0">+D8*E8</f>
        <v>4444948.5199999996</v>
      </c>
      <c r="G8" s="102"/>
      <c r="H8">
        <v>3.2539999999999999E-3</v>
      </c>
      <c r="I8" s="102">
        <f t="shared" ref="I8:I9" si="1">+D8*H8</f>
        <v>4130172.04</v>
      </c>
      <c r="K8" s="102"/>
      <c r="L8" s="102"/>
      <c r="M8" s="102"/>
      <c r="N8" s="102"/>
      <c r="O8" s="102">
        <f>+I8-F8</f>
        <v>-314776.47999999952</v>
      </c>
    </row>
    <row r="9" spans="1:15" x14ac:dyDescent="0.25">
      <c r="A9" t="s">
        <v>61</v>
      </c>
      <c r="D9" s="102">
        <v>4697499000</v>
      </c>
      <c r="E9">
        <v>3.5019999999999999E-3</v>
      </c>
      <c r="F9" s="102">
        <f t="shared" si="0"/>
        <v>16450641.498</v>
      </c>
      <c r="G9" s="102"/>
      <c r="H9">
        <v>3.2539999999999999E-3</v>
      </c>
      <c r="I9" s="102">
        <f t="shared" si="1"/>
        <v>15285661.745999999</v>
      </c>
      <c r="K9" s="102"/>
      <c r="L9" s="105"/>
      <c r="M9" s="107"/>
      <c r="N9" s="107"/>
      <c r="O9" s="105">
        <f>+I9-F9</f>
        <v>-1164979.7520000003</v>
      </c>
    </row>
    <row r="10" spans="1:15" x14ac:dyDescent="0.25">
      <c r="B10" s="37" t="s">
        <v>65</v>
      </c>
      <c r="C10" s="37"/>
      <c r="D10" s="37"/>
      <c r="E10" s="37"/>
      <c r="F10" s="37"/>
      <c r="G10" s="37"/>
      <c r="H10" s="37"/>
      <c r="I10" s="37"/>
      <c r="J10" s="37"/>
      <c r="K10" s="37"/>
      <c r="L10" s="110">
        <f>SUM(L7:L9)</f>
        <v>-137941.56799999997</v>
      </c>
      <c r="M10" s="37"/>
      <c r="N10" s="37"/>
      <c r="O10" s="110">
        <f>SUM(N7:O9)</f>
        <v>-1479756.2319999998</v>
      </c>
    </row>
    <row r="11" spans="1:15" x14ac:dyDescent="0.25">
      <c r="B11" t="s">
        <v>66</v>
      </c>
      <c r="L11" s="106">
        <f>+O10-L10</f>
        <v>-1341814.6639999999</v>
      </c>
      <c r="M11" s="27"/>
      <c r="N11" t="s">
        <v>67</v>
      </c>
      <c r="O11" s="106"/>
    </row>
    <row r="12" spans="1:15" x14ac:dyDescent="0.25">
      <c r="L12" s="103">
        <f>+L11+L10</f>
        <v>-1479756.2319999998</v>
      </c>
      <c r="O12" s="103">
        <f>SUM(O10:O11)</f>
        <v>-1479756.2319999998</v>
      </c>
    </row>
    <row r="13" spans="1:15" x14ac:dyDescent="0.25">
      <c r="L13" s="103"/>
      <c r="O13" s="103"/>
    </row>
    <row r="14" spans="1:15" ht="15" customHeight="1" x14ac:dyDescent="0.25">
      <c r="E14" s="174" t="s">
        <v>154</v>
      </c>
      <c r="F14" s="174"/>
      <c r="G14" s="174"/>
      <c r="H14" s="174"/>
      <c r="I14" s="174"/>
      <c r="L14" s="110">
        <f>+L11/4</f>
        <v>-335453.66599999997</v>
      </c>
      <c r="N14" t="s">
        <v>83</v>
      </c>
      <c r="O14" s="102"/>
    </row>
    <row r="15" spans="1:15" ht="15" customHeight="1" x14ac:dyDescent="0.25">
      <c r="E15" s="174"/>
      <c r="F15" s="174"/>
      <c r="G15" s="174"/>
      <c r="H15" s="174"/>
      <c r="I15" s="174"/>
      <c r="L15" s="103">
        <f>+L11-L14</f>
        <v>-1006360.9979999999</v>
      </c>
      <c r="N15" t="s">
        <v>84</v>
      </c>
      <c r="O15" s="103"/>
    </row>
    <row r="16" spans="1:15" x14ac:dyDescent="0.25">
      <c r="E16" s="174"/>
      <c r="F16" s="174"/>
      <c r="G16" s="174"/>
      <c r="H16" s="174"/>
      <c r="I16" s="174"/>
    </row>
    <row r="17" spans="9:17" x14ac:dyDescent="0.25">
      <c r="K17" s="160" t="s">
        <v>77</v>
      </c>
      <c r="L17" s="160"/>
      <c r="M17" s="160"/>
      <c r="N17" s="160"/>
      <c r="O17" s="160"/>
    </row>
    <row r="18" spans="9:17" x14ac:dyDescent="0.25">
      <c r="K18" s="160" t="s">
        <v>78</v>
      </c>
      <c r="L18" s="160"/>
      <c r="M18" s="160"/>
      <c r="N18" s="160"/>
      <c r="O18" s="160"/>
    </row>
    <row r="19" spans="9:17" x14ac:dyDescent="0.25">
      <c r="I19" s="153"/>
      <c r="J19" s="153"/>
      <c r="K19" s="175" t="s">
        <v>150</v>
      </c>
      <c r="L19" s="175"/>
      <c r="M19" s="175"/>
      <c r="N19" s="175"/>
      <c r="O19" s="175"/>
      <c r="P19" s="175"/>
      <c r="Q19" s="175"/>
    </row>
    <row r="20" spans="9:17" x14ac:dyDescent="0.25">
      <c r="I20" s="153"/>
      <c r="J20" s="153"/>
      <c r="K20" s="168"/>
      <c r="L20" s="176" t="s">
        <v>151</v>
      </c>
      <c r="M20" s="176"/>
      <c r="N20" s="176"/>
      <c r="O20" s="177" t="s">
        <v>93</v>
      </c>
      <c r="P20" s="176"/>
      <c r="Q20" s="168"/>
    </row>
    <row r="21" spans="9:17" ht="45" x14ac:dyDescent="0.25">
      <c r="I21" s="165"/>
      <c r="J21" s="165"/>
      <c r="K21" s="165"/>
      <c r="L21" s="114">
        <f>+L7</f>
        <v>-137941.56799999997</v>
      </c>
      <c r="N21" s="169" t="s">
        <v>148</v>
      </c>
      <c r="O21" s="103">
        <f>+O8</f>
        <v>-314776.47999999952</v>
      </c>
      <c r="P21" s="142" t="s">
        <v>149</v>
      </c>
    </row>
    <row r="22" spans="9:17" x14ac:dyDescent="0.25">
      <c r="L22" s="103">
        <f>-L21/3</f>
        <v>45980.522666666657</v>
      </c>
      <c r="N22" s="170"/>
      <c r="O22" s="103">
        <f>-+O21/4</f>
        <v>78694.119999999879</v>
      </c>
    </row>
  </sheetData>
  <mergeCells count="9">
    <mergeCell ref="E14:I16"/>
    <mergeCell ref="K19:Q19"/>
    <mergeCell ref="L20:N20"/>
    <mergeCell ref="O20:P20"/>
    <mergeCell ref="K5:O5"/>
    <mergeCell ref="K6:L6"/>
    <mergeCell ref="N6:O6"/>
    <mergeCell ref="E6:F6"/>
    <mergeCell ref="H6:I6"/>
  </mergeCells>
  <pageMargins left="0.7" right="0.7" top="0.75" bottom="0.75" header="0.3" footer="0.3"/>
  <pageSetup scale="7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49"/>
  <sheetViews>
    <sheetView topLeftCell="A21" zoomScaleNormal="100" workbookViewId="0">
      <selection activeCell="L45" sqref="L45"/>
    </sheetView>
  </sheetViews>
  <sheetFormatPr defaultRowHeight="15" x14ac:dyDescent="0.25"/>
  <cols>
    <col min="4" max="4" width="9.140625" customWidth="1"/>
    <col min="5" max="5" width="13.7109375" customWidth="1"/>
    <col min="6" max="6" width="14.28515625" customWidth="1"/>
    <col min="7" max="7" width="9.140625" customWidth="1"/>
    <col min="8" max="8" width="13.140625" customWidth="1"/>
    <col min="9" max="9" width="11.5703125" bestFit="1" customWidth="1"/>
    <col min="10" max="10" width="2.140625" style="27" customWidth="1"/>
    <col min="11" max="12" width="11.5703125" bestFit="1" customWidth="1"/>
    <col min="13" max="13" width="2.140625" style="27" customWidth="1"/>
    <col min="14" max="15" width="11.5703125" bestFit="1" customWidth="1"/>
    <col min="16" max="16" width="2.140625" style="27" customWidth="1"/>
    <col min="17" max="17" width="11.5703125" bestFit="1" customWidth="1"/>
    <col min="18" max="18" width="11.28515625" customWidth="1"/>
    <col min="19" max="19" width="2.28515625" style="27" customWidth="1"/>
    <col min="20" max="20" width="11.5703125" bestFit="1" customWidth="1"/>
    <col min="21" max="21" width="10.85546875" customWidth="1"/>
    <col min="22" max="22" width="2.140625" style="89" customWidth="1"/>
    <col min="24" max="24" width="10.5703125" customWidth="1"/>
    <col min="25" max="25" width="2.140625" style="27" customWidth="1"/>
    <col min="26" max="26" width="12.85546875" customWidth="1"/>
    <col min="27" max="27" width="12.42578125" customWidth="1"/>
  </cols>
  <sheetData>
    <row r="1" spans="1:27" x14ac:dyDescent="0.25">
      <c r="A1" s="23" t="s">
        <v>31</v>
      </c>
      <c r="B1" s="23"/>
      <c r="C1" s="23"/>
      <c r="D1" s="23"/>
    </row>
    <row r="2" spans="1:27" x14ac:dyDescent="0.25">
      <c r="A2" s="23" t="s">
        <v>45</v>
      </c>
      <c r="B2" s="23"/>
      <c r="C2" s="23"/>
      <c r="D2" s="23"/>
    </row>
    <row r="3" spans="1:27" x14ac:dyDescent="0.25">
      <c r="A3" s="29" t="s">
        <v>27</v>
      </c>
      <c r="B3" s="23"/>
      <c r="C3" s="23"/>
      <c r="D3" s="23"/>
    </row>
    <row r="4" spans="1:27" ht="15" customHeight="1" x14ac:dyDescent="0.25">
      <c r="A4" s="23" t="s">
        <v>86</v>
      </c>
      <c r="B4" s="23"/>
      <c r="C4" s="23"/>
      <c r="D4" s="23"/>
      <c r="I4" s="101"/>
      <c r="J4" s="101"/>
      <c r="K4" s="101"/>
      <c r="L4" s="101"/>
      <c r="M4" s="101"/>
      <c r="N4" s="101"/>
      <c r="O4" s="101"/>
      <c r="P4" s="101"/>
      <c r="Q4" s="101"/>
      <c r="R4" s="101"/>
      <c r="S4" s="101"/>
      <c r="T4" s="101"/>
      <c r="U4" s="101"/>
      <c r="V4" s="101"/>
      <c r="W4" s="101"/>
      <c r="X4" s="101"/>
      <c r="Y4" s="101"/>
      <c r="Z4" s="101"/>
    </row>
    <row r="5" spans="1:27" ht="15" customHeight="1" x14ac:dyDescent="0.25">
      <c r="E5" s="23"/>
      <c r="F5" s="23"/>
      <c r="G5" s="23"/>
      <c r="H5" s="101"/>
      <c r="I5" s="101"/>
      <c r="J5" s="101"/>
      <c r="K5" s="101"/>
      <c r="L5" s="101"/>
      <c r="M5" s="101"/>
      <c r="N5" s="101"/>
      <c r="O5" s="101"/>
      <c r="P5" s="101"/>
      <c r="Q5" s="101"/>
      <c r="R5" s="101"/>
      <c r="S5" s="101"/>
      <c r="T5" s="101"/>
      <c r="U5" s="101"/>
      <c r="V5" s="101"/>
      <c r="W5" s="101"/>
      <c r="X5" s="101"/>
      <c r="Y5" s="101"/>
      <c r="Z5" s="101"/>
    </row>
    <row r="6" spans="1:27" ht="62.25" customHeight="1" x14ac:dyDescent="0.25">
      <c r="A6" s="23"/>
      <c r="B6" s="23"/>
      <c r="C6" s="23"/>
      <c r="D6" s="23"/>
      <c r="E6" s="26" t="s">
        <v>37</v>
      </c>
      <c r="F6" s="34" t="s">
        <v>57</v>
      </c>
      <c r="G6" s="113" t="s">
        <v>90</v>
      </c>
      <c r="H6" s="178" t="s">
        <v>68</v>
      </c>
      <c r="I6" s="178"/>
      <c r="J6" s="178"/>
      <c r="K6" s="178"/>
      <c r="L6" s="178"/>
      <c r="M6" s="178"/>
      <c r="N6" s="178"/>
      <c r="O6" s="178"/>
      <c r="P6" s="178"/>
      <c r="Q6" s="178"/>
      <c r="R6" s="178"/>
      <c r="S6" s="178"/>
      <c r="T6" s="178"/>
      <c r="U6" s="178"/>
      <c r="V6" s="178"/>
      <c r="W6" s="178"/>
      <c r="X6" s="178"/>
      <c r="Y6" s="178"/>
      <c r="Z6" s="178"/>
      <c r="AA6" s="145" t="s">
        <v>119</v>
      </c>
    </row>
    <row r="7" spans="1:27" x14ac:dyDescent="0.25">
      <c r="A7" s="184" t="s">
        <v>32</v>
      </c>
      <c r="B7" s="184"/>
      <c r="C7" s="184"/>
      <c r="D7" s="184"/>
      <c r="E7" s="58"/>
      <c r="F7" s="83"/>
      <c r="G7" s="59"/>
      <c r="H7" s="180">
        <v>2014</v>
      </c>
      <c r="I7" s="180"/>
      <c r="J7" s="60"/>
      <c r="K7" s="180">
        <v>2015</v>
      </c>
      <c r="L7" s="180"/>
      <c r="M7" s="60"/>
      <c r="N7" s="180">
        <v>2016</v>
      </c>
      <c r="O7" s="180"/>
      <c r="P7" s="60"/>
      <c r="Q7" s="180">
        <v>2017</v>
      </c>
      <c r="R7" s="180"/>
      <c r="S7" s="60"/>
      <c r="T7" s="180">
        <v>2018</v>
      </c>
      <c r="U7" s="180"/>
      <c r="V7" s="58"/>
      <c r="W7" s="144">
        <v>2019</v>
      </c>
      <c r="X7" s="143"/>
      <c r="Y7" s="91"/>
      <c r="Z7" s="61" t="s">
        <v>36</v>
      </c>
    </row>
    <row r="8" spans="1:27" ht="36" customHeight="1" x14ac:dyDescent="0.25">
      <c r="A8" s="184"/>
      <c r="B8" s="184"/>
      <c r="C8" s="184"/>
      <c r="D8" s="184"/>
      <c r="E8" s="58"/>
      <c r="F8" s="83"/>
      <c r="G8" s="59"/>
      <c r="H8" s="62" t="s">
        <v>39</v>
      </c>
      <c r="I8" s="63" t="s">
        <v>40</v>
      </c>
      <c r="J8" s="64"/>
      <c r="K8" s="62" t="s">
        <v>39</v>
      </c>
      <c r="L8" s="63" t="s">
        <v>40</v>
      </c>
      <c r="M8" s="64"/>
      <c r="N8" s="62" t="s">
        <v>39</v>
      </c>
      <c r="O8" s="63" t="s">
        <v>40</v>
      </c>
      <c r="P8" s="64"/>
      <c r="Q8" s="62" t="s">
        <v>39</v>
      </c>
      <c r="R8" s="63" t="s">
        <v>40</v>
      </c>
      <c r="S8" s="64"/>
      <c r="T8" s="62" t="s">
        <v>39</v>
      </c>
      <c r="U8" s="63" t="s">
        <v>40</v>
      </c>
      <c r="V8" s="58"/>
      <c r="W8" s="58"/>
      <c r="X8" s="58"/>
      <c r="Y8" s="68"/>
      <c r="Z8" s="58"/>
    </row>
    <row r="9" spans="1:27" ht="15" customHeight="1" x14ac:dyDescent="0.25">
      <c r="A9" s="58"/>
      <c r="B9" s="58"/>
      <c r="C9" s="58"/>
      <c r="D9" s="58"/>
      <c r="E9" s="59">
        <v>41820</v>
      </c>
      <c r="F9" s="66">
        <f>+$I9+I9/3</f>
        <v>336621.33333333331</v>
      </c>
      <c r="G9" s="95" t="s">
        <v>88</v>
      </c>
      <c r="H9" s="66">
        <f>+F9/4</f>
        <v>84155.333333333328</v>
      </c>
      <c r="I9" s="66">
        <v>252466</v>
      </c>
      <c r="J9" s="67"/>
      <c r="K9" s="66">
        <f>+H9</f>
        <v>84155.333333333328</v>
      </c>
      <c r="L9" s="66">
        <f>+I9-K9</f>
        <v>168310.66666666669</v>
      </c>
      <c r="M9" s="67"/>
      <c r="N9" s="66">
        <f>+K9</f>
        <v>84155.333333333328</v>
      </c>
      <c r="O9" s="66">
        <f>+L9-N9</f>
        <v>84155.333333333358</v>
      </c>
      <c r="P9" s="67"/>
      <c r="Q9" s="66">
        <f>+N9</f>
        <v>84155.333333333328</v>
      </c>
      <c r="R9" s="66">
        <f>+O9-Q9</f>
        <v>0</v>
      </c>
      <c r="S9" s="67"/>
      <c r="T9" s="66">
        <v>0</v>
      </c>
      <c r="U9" s="66">
        <v>0</v>
      </c>
      <c r="V9" s="58"/>
      <c r="W9" s="66"/>
      <c r="X9" s="66"/>
      <c r="Y9" s="67"/>
      <c r="Z9" s="66"/>
      <c r="AA9" s="25">
        <f>+H9+K9+N9+Q9</f>
        <v>336621.33333333331</v>
      </c>
    </row>
    <row r="10" spans="1:27" ht="14.25" customHeight="1" x14ac:dyDescent="0.25">
      <c r="A10" s="58"/>
      <c r="B10" s="58"/>
      <c r="C10" s="58"/>
      <c r="D10" s="58"/>
      <c r="E10" s="59">
        <v>42185</v>
      </c>
      <c r="F10" s="66">
        <f>+L10+L10/3</f>
        <v>-1133637.3333333333</v>
      </c>
      <c r="G10" s="117" t="s">
        <v>89</v>
      </c>
      <c r="H10" s="95" t="s">
        <v>58</v>
      </c>
      <c r="I10" s="95" t="s">
        <v>58</v>
      </c>
      <c r="J10" s="67"/>
      <c r="K10" s="66">
        <f>+F10/4</f>
        <v>-283409.33333333331</v>
      </c>
      <c r="L10" s="66">
        <v>-850228</v>
      </c>
      <c r="M10" s="67"/>
      <c r="N10" s="66">
        <f>+K10</f>
        <v>-283409.33333333331</v>
      </c>
      <c r="O10" s="66">
        <f>+L10-N10</f>
        <v>-566818.66666666674</v>
      </c>
      <c r="P10" s="67"/>
      <c r="Q10" s="66">
        <f>+N10</f>
        <v>-283409.33333333331</v>
      </c>
      <c r="R10" s="66">
        <f>+O10-Q10</f>
        <v>-283409.33333333343</v>
      </c>
      <c r="S10" s="67"/>
      <c r="T10" s="66">
        <f>+Q10</f>
        <v>-283409.33333333331</v>
      </c>
      <c r="U10" s="66">
        <f>+R10-T10</f>
        <v>0</v>
      </c>
      <c r="V10" s="58"/>
      <c r="W10" s="66"/>
      <c r="X10" s="66"/>
      <c r="Y10" s="67"/>
      <c r="Z10" s="66"/>
      <c r="AA10" s="25">
        <f>+K10+N10+Q10+T10</f>
        <v>-1133637.3333333333</v>
      </c>
    </row>
    <row r="11" spans="1:27" ht="14.25" customHeight="1" x14ac:dyDescent="0.25">
      <c r="A11" s="58" t="s">
        <v>145</v>
      </c>
      <c r="B11" s="58"/>
      <c r="C11" s="58"/>
      <c r="D11" s="58"/>
      <c r="E11" s="59">
        <v>42185</v>
      </c>
      <c r="F11" s="66">
        <v>-17877</v>
      </c>
      <c r="G11" s="117" t="s">
        <v>88</v>
      </c>
      <c r="H11" s="95"/>
      <c r="I11" s="95"/>
      <c r="J11" s="67"/>
      <c r="K11" s="66">
        <v>-5959</v>
      </c>
      <c r="L11" s="66">
        <f>+F11-K11</f>
        <v>-11918</v>
      </c>
      <c r="M11" s="67"/>
      <c r="N11" s="66">
        <f>+K11</f>
        <v>-5959</v>
      </c>
      <c r="O11" s="66">
        <f>+L11-N11</f>
        <v>-5959</v>
      </c>
      <c r="P11" s="67"/>
      <c r="Q11" s="66">
        <f>+N11</f>
        <v>-5959</v>
      </c>
      <c r="R11" s="66">
        <f>+O11-Q11</f>
        <v>0</v>
      </c>
      <c r="S11" s="67"/>
      <c r="T11" s="66"/>
      <c r="U11" s="66"/>
      <c r="V11" s="58"/>
      <c r="W11" s="66"/>
      <c r="X11" s="66"/>
      <c r="Y11" s="67"/>
      <c r="Z11" s="66"/>
      <c r="AA11" s="25"/>
    </row>
    <row r="12" spans="1:27" x14ac:dyDescent="0.25">
      <c r="A12" s="58"/>
      <c r="B12" s="58"/>
      <c r="C12" s="58"/>
      <c r="D12" s="58"/>
      <c r="E12" s="59">
        <v>42551</v>
      </c>
      <c r="F12" s="66"/>
      <c r="G12" s="117"/>
      <c r="H12" s="66"/>
      <c r="I12" s="66"/>
      <c r="J12" s="67"/>
      <c r="K12" s="66"/>
      <c r="L12" s="66"/>
      <c r="M12" s="67"/>
      <c r="N12" s="66"/>
      <c r="O12" s="66"/>
      <c r="P12" s="67"/>
      <c r="Q12" s="66"/>
      <c r="R12" s="66"/>
      <c r="S12" s="67"/>
      <c r="T12" s="66"/>
      <c r="U12" s="66"/>
      <c r="V12" s="66"/>
      <c r="W12" s="66"/>
      <c r="X12" s="66"/>
      <c r="Y12" s="67"/>
      <c r="Z12" s="66"/>
    </row>
    <row r="13" spans="1:27" x14ac:dyDescent="0.25">
      <c r="A13" s="58"/>
      <c r="B13" s="58"/>
      <c r="C13" s="58"/>
      <c r="D13" s="58"/>
      <c r="E13" s="59">
        <v>42916</v>
      </c>
      <c r="F13" s="67"/>
      <c r="G13" s="118"/>
      <c r="H13" s="85"/>
      <c r="I13" s="85"/>
      <c r="J13" s="67"/>
      <c r="K13" s="85"/>
      <c r="L13" s="85"/>
      <c r="M13" s="67"/>
      <c r="N13" s="85"/>
      <c r="O13" s="85"/>
      <c r="P13" s="67"/>
      <c r="Q13" s="85"/>
      <c r="R13" s="85"/>
      <c r="S13" s="67"/>
      <c r="T13" s="85"/>
      <c r="U13" s="85"/>
      <c r="V13" s="66"/>
      <c r="W13" s="85"/>
      <c r="X13" s="85"/>
      <c r="Y13" s="67"/>
      <c r="Z13" s="85"/>
    </row>
    <row r="14" spans="1:27" x14ac:dyDescent="0.25">
      <c r="A14" s="65" t="s">
        <v>38</v>
      </c>
      <c r="B14" s="65"/>
      <c r="C14" s="58"/>
      <c r="D14" s="58"/>
      <c r="E14" s="59"/>
      <c r="F14" s="66"/>
      <c r="G14" s="95"/>
      <c r="H14" s="66">
        <f>SUM(H9:H13)</f>
        <v>84155.333333333328</v>
      </c>
      <c r="I14" s="66">
        <f t="shared" ref="I14:R14" si="0">SUM(I9:I13)</f>
        <v>252466</v>
      </c>
      <c r="J14" s="67"/>
      <c r="K14" s="66">
        <f t="shared" si="0"/>
        <v>-205213</v>
      </c>
      <c r="L14" s="66">
        <f>SUM(L9:L13)</f>
        <v>-693835.33333333326</v>
      </c>
      <c r="M14" s="66"/>
      <c r="N14" s="66">
        <f t="shared" si="0"/>
        <v>-205213</v>
      </c>
      <c r="O14" s="66">
        <f t="shared" si="0"/>
        <v>-488622.33333333337</v>
      </c>
      <c r="P14" s="66"/>
      <c r="Q14" s="66">
        <f t="shared" si="0"/>
        <v>-205213</v>
      </c>
      <c r="R14" s="66">
        <f t="shared" si="0"/>
        <v>-283409.33333333343</v>
      </c>
      <c r="S14" s="67"/>
      <c r="T14" s="66">
        <f>SUM(T9:T13)</f>
        <v>-283409.33333333331</v>
      </c>
      <c r="U14" s="66"/>
      <c r="V14" s="66"/>
      <c r="W14" s="66"/>
      <c r="X14" s="66"/>
      <c r="Y14" s="67"/>
      <c r="Z14" s="66"/>
    </row>
    <row r="15" spans="1:27" x14ac:dyDescent="0.25">
      <c r="A15" s="23"/>
      <c r="B15" s="23"/>
      <c r="E15" s="24"/>
      <c r="F15" s="25"/>
      <c r="G15" s="119"/>
      <c r="H15" s="28"/>
      <c r="I15" s="28"/>
      <c r="J15" s="28"/>
      <c r="K15" s="28"/>
      <c r="L15" s="28"/>
      <c r="M15" s="28"/>
      <c r="N15" s="28"/>
      <c r="O15" s="28"/>
      <c r="P15" s="28"/>
      <c r="Q15" s="28"/>
      <c r="R15" s="28"/>
      <c r="S15" s="28"/>
      <c r="T15" s="28"/>
      <c r="U15" s="28"/>
      <c r="V15" s="88"/>
      <c r="W15" s="28"/>
      <c r="X15" s="28"/>
      <c r="Y15" s="28"/>
      <c r="Z15" s="28"/>
    </row>
    <row r="16" spans="1:27" x14ac:dyDescent="0.25">
      <c r="A16" s="69"/>
      <c r="B16" s="69"/>
      <c r="C16" s="70"/>
      <c r="D16" s="70"/>
      <c r="E16" s="71"/>
      <c r="F16" s="72"/>
      <c r="G16" s="120"/>
      <c r="H16" s="183">
        <v>2014</v>
      </c>
      <c r="I16" s="183"/>
      <c r="J16" s="73"/>
      <c r="K16" s="183">
        <v>2015</v>
      </c>
      <c r="L16" s="183"/>
      <c r="M16" s="73"/>
      <c r="N16" s="183">
        <v>2016</v>
      </c>
      <c r="O16" s="183"/>
      <c r="P16" s="73"/>
      <c r="Q16" s="183">
        <v>2017</v>
      </c>
      <c r="R16" s="183"/>
      <c r="S16" s="73"/>
      <c r="T16" s="183">
        <v>2018</v>
      </c>
      <c r="U16" s="183"/>
      <c r="V16" s="72"/>
      <c r="W16" s="183">
        <v>2019</v>
      </c>
      <c r="X16" s="183"/>
      <c r="Y16" s="92"/>
      <c r="Z16" s="74" t="s">
        <v>36</v>
      </c>
    </row>
    <row r="17" spans="1:27" ht="30" x14ac:dyDescent="0.25">
      <c r="A17" s="82" t="s">
        <v>33</v>
      </c>
      <c r="B17" s="69"/>
      <c r="C17" s="70"/>
      <c r="D17" s="70"/>
      <c r="E17" s="71"/>
      <c r="F17" s="72"/>
      <c r="G17" s="120"/>
      <c r="H17" s="75" t="s">
        <v>39</v>
      </c>
      <c r="I17" s="76" t="s">
        <v>40</v>
      </c>
      <c r="J17" s="77"/>
      <c r="K17" s="75" t="s">
        <v>39</v>
      </c>
      <c r="L17" s="76" t="s">
        <v>40</v>
      </c>
      <c r="M17" s="77"/>
      <c r="N17" s="75" t="s">
        <v>39</v>
      </c>
      <c r="O17" s="76" t="s">
        <v>40</v>
      </c>
      <c r="P17" s="77"/>
      <c r="Q17" s="75" t="s">
        <v>39</v>
      </c>
      <c r="R17" s="76" t="s">
        <v>40</v>
      </c>
      <c r="S17" s="77"/>
      <c r="T17" s="75" t="s">
        <v>39</v>
      </c>
      <c r="U17" s="76" t="s">
        <v>40</v>
      </c>
      <c r="V17" s="72"/>
      <c r="W17" s="72"/>
      <c r="X17" s="72"/>
      <c r="Y17" s="78"/>
      <c r="Z17" s="72"/>
    </row>
    <row r="18" spans="1:27" x14ac:dyDescent="0.25">
      <c r="A18" s="82"/>
      <c r="B18" s="82"/>
      <c r="C18" s="82"/>
      <c r="D18" s="82"/>
      <c r="E18" s="71">
        <v>41820</v>
      </c>
      <c r="F18" s="72">
        <f>+I18+I18/3</f>
        <v>2260536</v>
      </c>
      <c r="G18" s="120" t="s">
        <v>88</v>
      </c>
      <c r="H18" s="72">
        <f>+F18/4</f>
        <v>565134</v>
      </c>
      <c r="I18" s="72">
        <v>1695402</v>
      </c>
      <c r="J18" s="78"/>
      <c r="K18" s="72">
        <f>+H18</f>
        <v>565134</v>
      </c>
      <c r="L18" s="72">
        <f>+I18-K18</f>
        <v>1130268</v>
      </c>
      <c r="M18" s="78"/>
      <c r="N18" s="72">
        <f>+H18</f>
        <v>565134</v>
      </c>
      <c r="O18" s="72">
        <f>+L18-N18</f>
        <v>565134</v>
      </c>
      <c r="P18" s="78"/>
      <c r="Q18" s="72">
        <f>+H18</f>
        <v>565134</v>
      </c>
      <c r="R18" s="72">
        <f>+O18-Q18</f>
        <v>0</v>
      </c>
      <c r="S18" s="78"/>
      <c r="T18" s="84">
        <v>0</v>
      </c>
      <c r="U18" s="84">
        <v>0</v>
      </c>
      <c r="V18" s="72"/>
      <c r="W18" s="72"/>
      <c r="X18" s="72"/>
      <c r="Y18" s="78"/>
      <c r="Z18" s="72"/>
      <c r="AA18" s="25">
        <f>+H18+K18+N18+Q18</f>
        <v>2260536</v>
      </c>
    </row>
    <row r="19" spans="1:27" x14ac:dyDescent="0.25">
      <c r="A19" s="70"/>
      <c r="B19" s="70"/>
      <c r="C19" s="70"/>
      <c r="D19" s="70"/>
      <c r="E19" s="71">
        <v>42185</v>
      </c>
      <c r="F19" s="97" t="s">
        <v>58</v>
      </c>
      <c r="G19" s="120"/>
      <c r="H19" s="97" t="s">
        <v>58</v>
      </c>
      <c r="I19" s="97" t="s">
        <v>58</v>
      </c>
      <c r="J19" s="78"/>
      <c r="K19" s="97" t="s">
        <v>58</v>
      </c>
      <c r="L19" s="97" t="s">
        <v>58</v>
      </c>
      <c r="M19" s="78"/>
      <c r="N19" s="97" t="s">
        <v>58</v>
      </c>
      <c r="O19" s="97" t="s">
        <v>58</v>
      </c>
      <c r="P19" s="78"/>
      <c r="Q19" s="97" t="s">
        <v>58</v>
      </c>
      <c r="R19" s="97" t="s">
        <v>58</v>
      </c>
      <c r="S19" s="78"/>
      <c r="T19" s="97" t="s">
        <v>58</v>
      </c>
      <c r="U19" s="97" t="s">
        <v>58</v>
      </c>
      <c r="V19" s="72"/>
      <c r="W19" s="72"/>
      <c r="X19" s="72"/>
      <c r="Y19" s="78"/>
      <c r="Z19" s="72"/>
    </row>
    <row r="20" spans="1:27" x14ac:dyDescent="0.25">
      <c r="A20" s="70" t="s">
        <v>146</v>
      </c>
      <c r="B20" s="70"/>
      <c r="C20" s="70"/>
      <c r="D20" s="70"/>
      <c r="E20" s="71">
        <v>42185</v>
      </c>
      <c r="F20" s="72">
        <v>-120065</v>
      </c>
      <c r="G20" s="120" t="s">
        <v>88</v>
      </c>
      <c r="H20" s="97"/>
      <c r="I20" s="97"/>
      <c r="J20" s="78"/>
      <c r="K20" s="72">
        <f>+F20/3</f>
        <v>-40021.666666666664</v>
      </c>
      <c r="L20" s="72">
        <f>+F20-K20</f>
        <v>-80043.333333333343</v>
      </c>
      <c r="M20" s="72"/>
      <c r="N20" s="72">
        <f>+L20-K20</f>
        <v>-40021.666666666679</v>
      </c>
      <c r="O20" s="72">
        <f>+L20-N20</f>
        <v>-40021.666666666664</v>
      </c>
      <c r="P20" s="72"/>
      <c r="Q20" s="72">
        <f>+N20</f>
        <v>-40021.666666666679</v>
      </c>
      <c r="R20" s="164">
        <f>+N20-O20</f>
        <v>0</v>
      </c>
      <c r="S20" s="78"/>
      <c r="T20" s="97"/>
      <c r="U20" s="97"/>
      <c r="V20" s="72"/>
      <c r="W20" s="72"/>
      <c r="X20" s="72"/>
      <c r="Y20" s="78"/>
      <c r="Z20" s="72"/>
    </row>
    <row r="21" spans="1:27" x14ac:dyDescent="0.25">
      <c r="A21" s="70"/>
      <c r="B21" s="70"/>
      <c r="C21" s="70"/>
      <c r="D21" s="70"/>
      <c r="E21" s="71">
        <v>42551</v>
      </c>
      <c r="F21" s="72"/>
      <c r="G21" s="120"/>
      <c r="H21" s="72"/>
      <c r="I21" s="72"/>
      <c r="J21" s="78"/>
      <c r="K21" s="72"/>
      <c r="L21" s="72"/>
      <c r="M21" s="78"/>
      <c r="N21" s="72"/>
      <c r="O21" s="72"/>
      <c r="P21" s="78"/>
      <c r="Q21" s="72"/>
      <c r="R21" s="72"/>
      <c r="S21" s="78"/>
      <c r="T21" s="72"/>
      <c r="U21" s="72"/>
      <c r="V21" s="72"/>
      <c r="W21" s="72"/>
      <c r="X21" s="72"/>
      <c r="Y21" s="78"/>
      <c r="Z21" s="72"/>
    </row>
    <row r="22" spans="1:27" x14ac:dyDescent="0.25">
      <c r="A22" s="70"/>
      <c r="B22" s="70"/>
      <c r="C22" s="70"/>
      <c r="D22" s="70"/>
      <c r="E22" s="71">
        <v>42916</v>
      </c>
      <c r="F22" s="72"/>
      <c r="G22" s="120"/>
      <c r="H22" s="79"/>
      <c r="I22" s="79"/>
      <c r="J22" s="78"/>
      <c r="K22" s="79"/>
      <c r="L22" s="79"/>
      <c r="M22" s="78"/>
      <c r="N22" s="79"/>
      <c r="O22" s="79"/>
      <c r="P22" s="78"/>
      <c r="Q22" s="79"/>
      <c r="R22" s="79"/>
      <c r="S22" s="78"/>
      <c r="T22" s="79"/>
      <c r="U22" s="79"/>
      <c r="V22" s="72"/>
      <c r="W22" s="79"/>
      <c r="X22" s="79"/>
      <c r="Y22" s="78"/>
      <c r="Z22" s="79"/>
    </row>
    <row r="23" spans="1:27" x14ac:dyDescent="0.25">
      <c r="A23" s="69" t="s">
        <v>38</v>
      </c>
      <c r="B23" s="70"/>
      <c r="C23" s="70"/>
      <c r="D23" s="70"/>
      <c r="E23" s="71"/>
      <c r="F23" s="72"/>
      <c r="G23" s="120"/>
      <c r="H23" s="78">
        <f>SUM(H18:H22)</f>
        <v>565134</v>
      </c>
      <c r="I23" s="78">
        <f t="shared" ref="I23:U23" si="1">SUM(I18:I22)</f>
        <v>1695402</v>
      </c>
      <c r="J23" s="78"/>
      <c r="K23" s="78">
        <f t="shared" si="1"/>
        <v>525112.33333333337</v>
      </c>
      <c r="L23" s="78">
        <f t="shared" si="1"/>
        <v>1050224.6666666667</v>
      </c>
      <c r="M23" s="78"/>
      <c r="N23" s="78">
        <f t="shared" si="1"/>
        <v>525112.33333333337</v>
      </c>
      <c r="O23" s="78">
        <f t="shared" si="1"/>
        <v>525112.33333333337</v>
      </c>
      <c r="P23" s="78"/>
      <c r="Q23" s="78">
        <f t="shared" si="1"/>
        <v>525112.33333333337</v>
      </c>
      <c r="R23" s="78">
        <f t="shared" si="1"/>
        <v>0</v>
      </c>
      <c r="S23" s="78"/>
      <c r="T23" s="78">
        <f t="shared" si="1"/>
        <v>0</v>
      </c>
      <c r="U23" s="78">
        <f t="shared" si="1"/>
        <v>0</v>
      </c>
      <c r="V23" s="72"/>
      <c r="W23" s="72"/>
      <c r="X23" s="72"/>
      <c r="Y23" s="78"/>
      <c r="Z23" s="72"/>
    </row>
    <row r="24" spans="1:27" x14ac:dyDescent="0.25">
      <c r="A24" s="23"/>
      <c r="E24" s="24"/>
      <c r="F24" s="25"/>
      <c r="G24" s="119"/>
      <c r="H24" s="28"/>
      <c r="I24" s="28"/>
      <c r="J24" s="28"/>
      <c r="K24" s="28"/>
      <c r="L24" s="28"/>
      <c r="M24" s="28"/>
      <c r="N24" s="28"/>
      <c r="O24" s="28"/>
      <c r="P24" s="28"/>
      <c r="Q24" s="28"/>
      <c r="R24" s="28"/>
      <c r="S24" s="28"/>
      <c r="T24" s="28"/>
      <c r="U24" s="28"/>
      <c r="V24" s="88"/>
      <c r="W24" s="28"/>
      <c r="X24" s="28"/>
      <c r="Y24" s="28"/>
      <c r="Z24" s="28"/>
    </row>
    <row r="25" spans="1:27" ht="15" customHeight="1" x14ac:dyDescent="0.25">
      <c r="A25" s="48"/>
      <c r="B25" s="55"/>
      <c r="C25" s="55"/>
      <c r="D25" s="55"/>
      <c r="E25" s="49"/>
      <c r="F25" s="56"/>
      <c r="G25" s="86"/>
      <c r="H25" s="181">
        <v>2014</v>
      </c>
      <c r="I25" s="181"/>
      <c r="J25" s="50"/>
      <c r="K25" s="181">
        <v>2015</v>
      </c>
      <c r="L25" s="181"/>
      <c r="M25" s="50"/>
      <c r="N25" s="181">
        <v>2016</v>
      </c>
      <c r="O25" s="181"/>
      <c r="P25" s="50"/>
      <c r="Q25" s="181">
        <v>2017</v>
      </c>
      <c r="R25" s="181"/>
      <c r="S25" s="50"/>
      <c r="T25" s="181">
        <v>2018</v>
      </c>
      <c r="U25" s="181"/>
      <c r="V25" s="56"/>
      <c r="W25" s="181">
        <v>2019</v>
      </c>
      <c r="X25" s="181"/>
      <c r="Y25" s="90"/>
      <c r="Z25" s="51" t="s">
        <v>36</v>
      </c>
    </row>
    <row r="26" spans="1:27" ht="37.5" customHeight="1" x14ac:dyDescent="0.25">
      <c r="A26" s="185" t="s">
        <v>34</v>
      </c>
      <c r="B26" s="185"/>
      <c r="C26" s="185"/>
      <c r="D26" s="185"/>
      <c r="E26" s="49"/>
      <c r="F26" s="56"/>
      <c r="G26" s="86"/>
      <c r="H26" s="52" t="s">
        <v>39</v>
      </c>
      <c r="I26" s="53" t="s">
        <v>40</v>
      </c>
      <c r="J26" s="54"/>
      <c r="K26" s="52" t="s">
        <v>39</v>
      </c>
      <c r="L26" s="53" t="s">
        <v>40</v>
      </c>
      <c r="M26" s="54"/>
      <c r="N26" s="52" t="s">
        <v>39</v>
      </c>
      <c r="O26" s="53" t="s">
        <v>40</v>
      </c>
      <c r="P26" s="54"/>
      <c r="Q26" s="52" t="s">
        <v>39</v>
      </c>
      <c r="R26" s="53" t="s">
        <v>40</v>
      </c>
      <c r="S26" s="54"/>
      <c r="T26" s="52" t="s">
        <v>39</v>
      </c>
      <c r="U26" s="53" t="s">
        <v>40</v>
      </c>
      <c r="V26" s="56"/>
      <c r="W26" s="52" t="s">
        <v>39</v>
      </c>
      <c r="X26" s="53" t="s">
        <v>40</v>
      </c>
      <c r="Y26" s="54"/>
      <c r="Z26" s="56"/>
    </row>
    <row r="27" spans="1:27" x14ac:dyDescent="0.25">
      <c r="A27" s="55"/>
      <c r="B27" s="55"/>
      <c r="C27" s="55"/>
      <c r="D27" s="55"/>
      <c r="E27" s="49">
        <v>41820</v>
      </c>
      <c r="F27" s="56">
        <f>+$I27+$I27/4</f>
        <v>-5556186.25</v>
      </c>
      <c r="G27" s="86" t="s">
        <v>89</v>
      </c>
      <c r="H27" s="56">
        <f>+F27/5</f>
        <v>-1111237.25</v>
      </c>
      <c r="I27" s="56">
        <v>-4444949</v>
      </c>
      <c r="J27" s="57"/>
      <c r="K27" s="56">
        <f>+I27/4</f>
        <v>-1111237.25</v>
      </c>
      <c r="L27" s="56">
        <f>+I27-K27</f>
        <v>-3333711.75</v>
      </c>
      <c r="M27" s="57"/>
      <c r="N27" s="56">
        <f>+K27</f>
        <v>-1111237.25</v>
      </c>
      <c r="O27" s="56">
        <f>+L27-N27</f>
        <v>-2222474.5</v>
      </c>
      <c r="P27" s="57"/>
      <c r="Q27" s="56">
        <f>+N27</f>
        <v>-1111237.25</v>
      </c>
      <c r="R27" s="56">
        <f>+O27-Q27</f>
        <v>-1111237.25</v>
      </c>
      <c r="S27" s="57"/>
      <c r="T27" s="56">
        <f>+Q27</f>
        <v>-1111237.25</v>
      </c>
      <c r="U27" s="56">
        <f>+R27-T27</f>
        <v>0</v>
      </c>
      <c r="V27" s="56"/>
      <c r="W27" s="56"/>
      <c r="X27" s="56"/>
      <c r="Y27" s="57"/>
      <c r="Z27" s="56"/>
      <c r="AA27" s="25">
        <f>+H27+K27+N27+Q27+T27</f>
        <v>-5556186.25</v>
      </c>
    </row>
    <row r="28" spans="1:27" x14ac:dyDescent="0.25">
      <c r="A28" s="48"/>
      <c r="B28" s="48"/>
      <c r="C28" s="48"/>
      <c r="D28" s="48"/>
      <c r="E28" s="49">
        <v>42185</v>
      </c>
      <c r="F28" s="56">
        <f>+L28+L28/4</f>
        <v>1995536.25</v>
      </c>
      <c r="G28" s="86" t="s">
        <v>88</v>
      </c>
      <c r="H28" s="86" t="s">
        <v>58</v>
      </c>
      <c r="I28" s="86" t="s">
        <v>58</v>
      </c>
      <c r="J28" s="57"/>
      <c r="K28" s="56">
        <f>+F28/5</f>
        <v>399107.25</v>
      </c>
      <c r="L28" s="56">
        <v>1596429</v>
      </c>
      <c r="M28" s="57"/>
      <c r="N28" s="56">
        <f>+K28</f>
        <v>399107.25</v>
      </c>
      <c r="O28" s="56">
        <f>+L28-N28</f>
        <v>1197321.75</v>
      </c>
      <c r="P28" s="57"/>
      <c r="Q28" s="56">
        <f>+N28</f>
        <v>399107.25</v>
      </c>
      <c r="R28" s="56">
        <f>+O28-Q28</f>
        <v>798214.5</v>
      </c>
      <c r="S28" s="57"/>
      <c r="T28" s="56">
        <f>+Q28</f>
        <v>399107.25</v>
      </c>
      <c r="U28" s="56">
        <f>+R28-T28</f>
        <v>399107.25</v>
      </c>
      <c r="V28" s="56"/>
      <c r="W28" s="56">
        <f>+T28</f>
        <v>399107.25</v>
      </c>
      <c r="X28" s="56">
        <f>+U28-W28</f>
        <v>0</v>
      </c>
      <c r="Y28" s="57"/>
      <c r="Z28" s="56"/>
      <c r="AA28" s="25">
        <f>+K28+N28+Q28+T28+W28</f>
        <v>1995536.25</v>
      </c>
    </row>
    <row r="29" spans="1:27" x14ac:dyDescent="0.25">
      <c r="A29" s="48" t="s">
        <v>146</v>
      </c>
      <c r="B29" s="48"/>
      <c r="C29" s="48"/>
      <c r="D29" s="48"/>
      <c r="E29" s="49">
        <v>42185</v>
      </c>
      <c r="F29" s="56">
        <v>314776</v>
      </c>
      <c r="G29" s="86" t="s">
        <v>89</v>
      </c>
      <c r="H29" s="86"/>
      <c r="I29" s="86"/>
      <c r="J29" s="57"/>
      <c r="K29" s="56">
        <v>78694</v>
      </c>
      <c r="L29" s="56">
        <f>+F29-K29</f>
        <v>236082</v>
      </c>
      <c r="M29" s="57"/>
      <c r="N29" s="56">
        <f>+K29</f>
        <v>78694</v>
      </c>
      <c r="O29" s="56">
        <f>+L29-N29</f>
        <v>157388</v>
      </c>
      <c r="P29" s="57"/>
      <c r="Q29" s="56">
        <f>+N29</f>
        <v>78694</v>
      </c>
      <c r="R29" s="56">
        <f>+O29-Q29</f>
        <v>78694</v>
      </c>
      <c r="S29" s="57"/>
      <c r="T29" s="56">
        <f>+Q29</f>
        <v>78694</v>
      </c>
      <c r="U29" s="56">
        <f>+R29-T29</f>
        <v>0</v>
      </c>
      <c r="V29" s="56"/>
      <c r="W29" s="56"/>
      <c r="X29" s="56"/>
      <c r="Y29" s="57"/>
      <c r="Z29" s="56"/>
      <c r="AA29" s="25"/>
    </row>
    <row r="30" spans="1:27" x14ac:dyDescent="0.25">
      <c r="A30" s="48"/>
      <c r="B30" s="48"/>
      <c r="C30" s="48"/>
      <c r="D30" s="48"/>
      <c r="E30" s="49">
        <v>42551</v>
      </c>
      <c r="F30" s="56"/>
      <c r="G30" s="86"/>
      <c r="H30" s="56"/>
      <c r="I30" s="56"/>
      <c r="J30" s="57"/>
      <c r="K30" s="56"/>
      <c r="L30" s="56"/>
      <c r="M30" s="57"/>
      <c r="N30" s="56"/>
      <c r="O30" s="56"/>
      <c r="P30" s="57"/>
      <c r="Q30" s="56"/>
      <c r="R30" s="56"/>
      <c r="S30" s="57"/>
      <c r="T30" s="56"/>
      <c r="U30" s="56"/>
      <c r="V30" s="56"/>
      <c r="W30" s="56"/>
      <c r="X30" s="56"/>
      <c r="Y30" s="57"/>
      <c r="Z30" s="56"/>
    </row>
    <row r="31" spans="1:27" x14ac:dyDescent="0.25">
      <c r="A31" s="48"/>
      <c r="B31" s="48"/>
      <c r="C31" s="48"/>
      <c r="D31" s="48"/>
      <c r="E31" s="49">
        <v>42916</v>
      </c>
      <c r="F31" s="57"/>
      <c r="G31" s="121"/>
      <c r="H31" s="80"/>
      <c r="I31" s="80"/>
      <c r="J31" s="57"/>
      <c r="K31" s="80"/>
      <c r="L31" s="80"/>
      <c r="M31" s="57"/>
      <c r="N31" s="80"/>
      <c r="O31" s="80"/>
      <c r="P31" s="57"/>
      <c r="Q31" s="80"/>
      <c r="R31" s="80"/>
      <c r="S31" s="57"/>
      <c r="T31" s="80"/>
      <c r="U31" s="80"/>
      <c r="V31" s="56"/>
      <c r="W31" s="80"/>
      <c r="X31" s="80"/>
      <c r="Y31" s="57"/>
      <c r="Z31" s="80"/>
    </row>
    <row r="32" spans="1:27" x14ac:dyDescent="0.25">
      <c r="A32" s="55" t="s">
        <v>38</v>
      </c>
      <c r="B32" s="55"/>
      <c r="C32" s="55"/>
      <c r="D32" s="48"/>
      <c r="E32" s="49"/>
      <c r="F32" s="56"/>
      <c r="G32" s="86"/>
      <c r="H32" s="57">
        <f t="shared" ref="H32:X32" si="2">SUM(H27:H31)</f>
        <v>-1111237.25</v>
      </c>
      <c r="I32" s="57">
        <f t="shared" si="2"/>
        <v>-4444949</v>
      </c>
      <c r="J32" s="57"/>
      <c r="K32" s="56">
        <f t="shared" si="2"/>
        <v>-633436</v>
      </c>
      <c r="L32" s="56">
        <f t="shared" si="2"/>
        <v>-1501200.75</v>
      </c>
      <c r="M32" s="57"/>
      <c r="N32" s="56">
        <f t="shared" si="2"/>
        <v>-633436</v>
      </c>
      <c r="O32" s="56">
        <f t="shared" si="2"/>
        <v>-867764.75</v>
      </c>
      <c r="P32" s="57"/>
      <c r="Q32" s="56">
        <f t="shared" si="2"/>
        <v>-633436</v>
      </c>
      <c r="R32" s="56">
        <f t="shared" si="2"/>
        <v>-234328.75</v>
      </c>
      <c r="S32" s="57"/>
      <c r="T32" s="56">
        <f t="shared" si="2"/>
        <v>-633436</v>
      </c>
      <c r="U32" s="56">
        <f t="shared" si="2"/>
        <v>399107.25</v>
      </c>
      <c r="V32" s="56"/>
      <c r="W32" s="56">
        <f t="shared" si="2"/>
        <v>399107.25</v>
      </c>
      <c r="X32" s="56">
        <f t="shared" si="2"/>
        <v>0</v>
      </c>
      <c r="Y32" s="57"/>
      <c r="Z32" s="56"/>
    </row>
    <row r="33" spans="1:27" x14ac:dyDescent="0.25">
      <c r="A33" s="23"/>
      <c r="B33" s="23"/>
      <c r="C33" s="23"/>
      <c r="E33" s="24"/>
      <c r="F33" s="25"/>
      <c r="G33" s="119"/>
      <c r="H33" s="28"/>
      <c r="I33" s="28"/>
      <c r="J33" s="28"/>
      <c r="K33" s="28"/>
      <c r="L33" s="28"/>
      <c r="M33" s="28"/>
      <c r="N33" s="28"/>
      <c r="O33" s="28"/>
      <c r="P33" s="28"/>
      <c r="Q33" s="28"/>
      <c r="R33" s="28"/>
      <c r="S33" s="28"/>
      <c r="T33" s="28"/>
      <c r="U33" s="28"/>
      <c r="V33" s="88"/>
      <c r="W33" s="25"/>
      <c r="X33" s="25"/>
      <c r="Y33" s="28"/>
      <c r="Z33" s="25"/>
    </row>
    <row r="34" spans="1:27" x14ac:dyDescent="0.25">
      <c r="A34" s="45"/>
      <c r="B34" s="45"/>
      <c r="C34" s="45"/>
      <c r="D34" s="35"/>
      <c r="E34" s="39"/>
      <c r="F34" s="46"/>
      <c r="G34" s="98"/>
      <c r="H34" s="182">
        <v>2014</v>
      </c>
      <c r="I34" s="182"/>
      <c r="J34" s="40"/>
      <c r="K34" s="182">
        <v>2015</v>
      </c>
      <c r="L34" s="182"/>
      <c r="M34" s="40"/>
      <c r="N34" s="182">
        <v>2016</v>
      </c>
      <c r="O34" s="182"/>
      <c r="P34" s="40"/>
      <c r="Q34" s="182">
        <v>2017</v>
      </c>
      <c r="R34" s="182"/>
      <c r="S34" s="40"/>
      <c r="T34" s="182">
        <v>2018</v>
      </c>
      <c r="U34" s="182"/>
      <c r="V34" s="46"/>
      <c r="W34" s="182">
        <v>2019</v>
      </c>
      <c r="X34" s="182"/>
      <c r="Y34" s="93"/>
      <c r="Z34" s="41" t="s">
        <v>36</v>
      </c>
    </row>
    <row r="35" spans="1:27" ht="30" x14ac:dyDescent="0.25">
      <c r="A35" s="159" t="s">
        <v>35</v>
      </c>
      <c r="B35" s="45"/>
      <c r="C35" s="45"/>
      <c r="D35" s="35"/>
      <c r="E35" s="39"/>
      <c r="F35" s="46"/>
      <c r="G35" s="98"/>
      <c r="H35" s="42" t="s">
        <v>39</v>
      </c>
      <c r="I35" s="43" t="s">
        <v>40</v>
      </c>
      <c r="J35" s="44"/>
      <c r="K35" s="42" t="s">
        <v>39</v>
      </c>
      <c r="L35" s="43" t="s">
        <v>40</v>
      </c>
      <c r="M35" s="44"/>
      <c r="N35" s="42" t="s">
        <v>39</v>
      </c>
      <c r="O35" s="43" t="s">
        <v>40</v>
      </c>
      <c r="P35" s="44"/>
      <c r="Q35" s="42" t="s">
        <v>39</v>
      </c>
      <c r="R35" s="43" t="s">
        <v>40</v>
      </c>
      <c r="S35" s="44"/>
      <c r="T35" s="42" t="s">
        <v>39</v>
      </c>
      <c r="U35" s="43" t="s">
        <v>40</v>
      </c>
      <c r="V35" s="46"/>
      <c r="W35" s="46"/>
      <c r="X35" s="46"/>
      <c r="Y35" s="47"/>
      <c r="Z35" s="46"/>
    </row>
    <row r="36" spans="1:27" x14ac:dyDescent="0.25">
      <c r="A36" s="45"/>
      <c r="B36" s="45"/>
      <c r="C36" s="45"/>
      <c r="D36" s="35"/>
      <c r="E36" s="39">
        <v>41820</v>
      </c>
      <c r="F36" s="98" t="s">
        <v>58</v>
      </c>
      <c r="G36" s="98"/>
      <c r="H36" s="98" t="s">
        <v>58</v>
      </c>
      <c r="I36" s="98" t="s">
        <v>58</v>
      </c>
      <c r="J36" s="116"/>
      <c r="K36" s="98" t="s">
        <v>58</v>
      </c>
      <c r="L36" s="98" t="s">
        <v>58</v>
      </c>
      <c r="M36" s="116"/>
      <c r="N36" s="98" t="s">
        <v>58</v>
      </c>
      <c r="O36" s="98" t="s">
        <v>58</v>
      </c>
      <c r="P36" s="116"/>
      <c r="Q36" s="98" t="s">
        <v>58</v>
      </c>
      <c r="R36" s="98" t="s">
        <v>58</v>
      </c>
      <c r="S36" s="116"/>
      <c r="T36" s="98" t="s">
        <v>58</v>
      </c>
      <c r="U36" s="98" t="s">
        <v>58</v>
      </c>
      <c r="V36" s="46"/>
      <c r="W36" s="46"/>
      <c r="X36" s="46"/>
      <c r="Y36" s="47"/>
      <c r="Z36" s="46"/>
    </row>
    <row r="37" spans="1:27" x14ac:dyDescent="0.25">
      <c r="A37" s="35"/>
      <c r="B37" s="35"/>
      <c r="C37" s="35"/>
      <c r="D37" s="35"/>
      <c r="E37" s="39">
        <v>42185</v>
      </c>
      <c r="F37" s="46">
        <f>+'Change in Prop Calculation'!L11</f>
        <v>-1341814.6639999999</v>
      </c>
      <c r="G37" s="98" t="s">
        <v>89</v>
      </c>
      <c r="H37" s="98" t="s">
        <v>58</v>
      </c>
      <c r="I37" s="98" t="s">
        <v>58</v>
      </c>
      <c r="J37" s="47"/>
      <c r="K37" s="46">
        <f>+F37/4</f>
        <v>-335453.66599999997</v>
      </c>
      <c r="L37" s="46">
        <f>+F37-K37</f>
        <v>-1006360.9979999999</v>
      </c>
      <c r="M37" s="47"/>
      <c r="N37" s="46">
        <f>+K37</f>
        <v>-335453.66599999997</v>
      </c>
      <c r="O37" s="46">
        <f>+L37-N37</f>
        <v>-670907.33199999994</v>
      </c>
      <c r="P37" s="47"/>
      <c r="Q37" s="46">
        <f>+N37</f>
        <v>-335453.66599999997</v>
      </c>
      <c r="R37" s="46">
        <f>+O37-Q37</f>
        <v>-335453.66599999997</v>
      </c>
      <c r="S37" s="47"/>
      <c r="T37" s="46">
        <f>+R37</f>
        <v>-335453.66599999997</v>
      </c>
      <c r="U37" s="46">
        <v>0</v>
      </c>
      <c r="V37" s="46"/>
      <c r="W37" s="46"/>
      <c r="X37" s="46"/>
      <c r="Y37" s="47"/>
      <c r="Z37" s="46"/>
      <c r="AA37" s="25">
        <f>+K37+N37+Q37+T37</f>
        <v>-1341814.6639999999</v>
      </c>
    </row>
    <row r="38" spans="1:27" x14ac:dyDescent="0.25">
      <c r="A38" s="35"/>
      <c r="B38" s="35"/>
      <c r="C38" s="35"/>
      <c r="D38" s="35"/>
      <c r="E38" s="39">
        <v>42551</v>
      </c>
      <c r="F38" s="46"/>
      <c r="G38" s="98"/>
      <c r="H38" s="46"/>
      <c r="I38" s="46"/>
      <c r="J38" s="47"/>
      <c r="K38" s="46"/>
      <c r="L38" s="46"/>
      <c r="M38" s="47"/>
      <c r="N38" s="46"/>
      <c r="O38" s="46"/>
      <c r="P38" s="47"/>
      <c r="Q38" s="46"/>
      <c r="R38" s="46"/>
      <c r="S38" s="47"/>
      <c r="T38" s="46"/>
      <c r="U38" s="46"/>
      <c r="V38" s="46"/>
      <c r="W38" s="46"/>
      <c r="X38" s="46"/>
      <c r="Y38" s="47"/>
      <c r="Z38" s="46"/>
    </row>
    <row r="39" spans="1:27" x14ac:dyDescent="0.25">
      <c r="A39" s="35"/>
      <c r="B39" s="35"/>
      <c r="C39" s="35"/>
      <c r="D39" s="35"/>
      <c r="E39" s="39">
        <v>42916</v>
      </c>
      <c r="F39" s="47"/>
      <c r="G39" s="136"/>
      <c r="H39" s="81"/>
      <c r="I39" s="81"/>
      <c r="J39" s="47"/>
      <c r="K39" s="81"/>
      <c r="L39" s="81"/>
      <c r="M39" s="47"/>
      <c r="N39" s="81"/>
      <c r="O39" s="81"/>
      <c r="P39" s="47"/>
      <c r="Q39" s="81"/>
      <c r="R39" s="81"/>
      <c r="S39" s="47"/>
      <c r="T39" s="81"/>
      <c r="U39" s="81"/>
      <c r="V39" s="46"/>
      <c r="W39" s="81"/>
      <c r="X39" s="81"/>
      <c r="Y39" s="47"/>
      <c r="Z39" s="81"/>
    </row>
    <row r="40" spans="1:27" x14ac:dyDescent="0.25">
      <c r="A40" s="45" t="s">
        <v>38</v>
      </c>
      <c r="B40" s="45"/>
      <c r="C40" s="35"/>
      <c r="D40" s="35"/>
      <c r="E40" s="35"/>
      <c r="F40" s="46"/>
      <c r="G40" s="98"/>
      <c r="H40" s="98"/>
      <c r="I40" s="98"/>
      <c r="J40" s="47"/>
      <c r="K40" s="46">
        <f t="shared" ref="K40:R40" si="3">SUM(K36:K39)</f>
        <v>-335453.66599999997</v>
      </c>
      <c r="L40" s="46">
        <f t="shared" si="3"/>
        <v>-1006360.9979999999</v>
      </c>
      <c r="M40" s="47"/>
      <c r="N40" s="46">
        <f t="shared" si="3"/>
        <v>-335453.66599999997</v>
      </c>
      <c r="O40" s="46">
        <f t="shared" si="3"/>
        <v>-670907.33199999994</v>
      </c>
      <c r="P40" s="47"/>
      <c r="Q40" s="46">
        <f t="shared" si="3"/>
        <v>-335453.66599999997</v>
      </c>
      <c r="R40" s="46">
        <f t="shared" si="3"/>
        <v>-335453.66599999997</v>
      </c>
      <c r="S40" s="47"/>
      <c r="T40" s="46">
        <f>SUM(T36:T39)</f>
        <v>-335453.66599999997</v>
      </c>
      <c r="U40" s="46">
        <f t="shared" ref="U40" si="4">SUM(U36:U39)</f>
        <v>0</v>
      </c>
      <c r="V40" s="46"/>
      <c r="W40" s="46"/>
      <c r="X40" s="46"/>
      <c r="Y40" s="47"/>
      <c r="Z40" s="46"/>
    </row>
    <row r="41" spans="1:27" x14ac:dyDescent="0.25">
      <c r="A41" s="23"/>
      <c r="B41" s="23"/>
      <c r="F41" s="25"/>
      <c r="G41" s="25"/>
      <c r="H41" s="25"/>
      <c r="I41" s="25"/>
      <c r="J41" s="28"/>
      <c r="K41" s="25"/>
      <c r="L41" s="25"/>
      <c r="M41" s="28"/>
      <c r="N41" s="25"/>
      <c r="O41" s="25"/>
      <c r="P41" s="28"/>
      <c r="Q41" s="25"/>
      <c r="R41" s="25"/>
      <c r="S41" s="28"/>
      <c r="T41" s="25"/>
      <c r="U41" s="25"/>
      <c r="V41" s="88"/>
      <c r="W41" s="25"/>
      <c r="X41" s="25"/>
      <c r="Y41" s="28"/>
      <c r="Z41" s="25"/>
    </row>
    <row r="42" spans="1:27" x14ac:dyDescent="0.25">
      <c r="A42" s="23" t="s">
        <v>117</v>
      </c>
      <c r="B42" s="23"/>
      <c r="C42" s="23"/>
      <c r="D42" s="23"/>
      <c r="H42" s="186">
        <v>2014</v>
      </c>
      <c r="I42" s="186"/>
      <c r="J42" s="94"/>
      <c r="K42" s="186">
        <v>2015</v>
      </c>
      <c r="L42" s="186"/>
      <c r="M42" s="94"/>
      <c r="N42" s="186">
        <v>2016</v>
      </c>
      <c r="O42" s="186"/>
      <c r="P42" s="94"/>
      <c r="Q42" s="186">
        <v>2017</v>
      </c>
      <c r="R42" s="186"/>
      <c r="S42" s="94"/>
      <c r="T42" s="186">
        <v>2018</v>
      </c>
      <c r="U42" s="186"/>
      <c r="V42" s="88"/>
      <c r="W42" s="186">
        <v>2019</v>
      </c>
      <c r="X42" s="186"/>
      <c r="Y42" s="87"/>
      <c r="Z42" s="146">
        <v>2020</v>
      </c>
      <c r="AA42" s="108" t="s">
        <v>36</v>
      </c>
    </row>
    <row r="43" spans="1:27" ht="15" customHeight="1" x14ac:dyDescent="0.25">
      <c r="A43" s="23" t="s">
        <v>118</v>
      </c>
      <c r="H43" s="25">
        <f>+H14+H23+H32</f>
        <v>-461947.91666666663</v>
      </c>
      <c r="K43" s="25"/>
      <c r="N43" s="25">
        <f>+N14+N23+N32+N40</f>
        <v>-648990.3326666666</v>
      </c>
      <c r="Q43" s="25">
        <f>+Q14+Q23+Q32+Q40</f>
        <v>-648990.3326666666</v>
      </c>
      <c r="T43" s="25">
        <f>+T14+T32+T40</f>
        <v>-1252298.9993333332</v>
      </c>
      <c r="W43" s="25">
        <f>+W32</f>
        <v>399107.25</v>
      </c>
    </row>
    <row r="44" spans="1:27" x14ac:dyDescent="0.25">
      <c r="A44" s="23" t="s">
        <v>120</v>
      </c>
      <c r="I44" s="25">
        <f>+I14+I23</f>
        <v>1947868</v>
      </c>
      <c r="K44" s="25"/>
      <c r="L44" s="25">
        <f>+L9+L11+L23+L28</f>
        <v>2803046.3333333335</v>
      </c>
      <c r="O44" s="25"/>
      <c r="R44" s="25"/>
    </row>
    <row r="45" spans="1:27" x14ac:dyDescent="0.25">
      <c r="A45" s="23" t="s">
        <v>121</v>
      </c>
      <c r="I45" s="25">
        <f>+I32</f>
        <v>-4444949</v>
      </c>
      <c r="L45" s="25">
        <f>+L10+L27+L29+L40</f>
        <v>-4954218.7479999997</v>
      </c>
      <c r="O45" s="25"/>
      <c r="R45" s="25"/>
    </row>
    <row r="47" spans="1:27" x14ac:dyDescent="0.25">
      <c r="A47" s="179" t="s">
        <v>44</v>
      </c>
      <c r="B47" s="179"/>
      <c r="C47" s="179"/>
      <c r="D47" s="179"/>
      <c r="E47" s="179"/>
      <c r="F47" s="179"/>
      <c r="K47" s="25"/>
    </row>
    <row r="48" spans="1:27" x14ac:dyDescent="0.25">
      <c r="A48" s="179"/>
      <c r="B48" s="179"/>
      <c r="C48" s="179"/>
      <c r="D48" s="179"/>
      <c r="E48" s="179"/>
      <c r="F48" s="179"/>
    </row>
    <row r="49" spans="1:6" ht="28.5" customHeight="1" x14ac:dyDescent="0.25">
      <c r="A49" s="179"/>
      <c r="B49" s="179"/>
      <c r="C49" s="179"/>
      <c r="D49" s="179"/>
      <c r="E49" s="179"/>
      <c r="F49" s="179"/>
    </row>
  </sheetData>
  <mergeCells count="33">
    <mergeCell ref="W42:X42"/>
    <mergeCell ref="H42:I42"/>
    <mergeCell ref="K42:L42"/>
    <mergeCell ref="N42:O42"/>
    <mergeCell ref="Q42:R42"/>
    <mergeCell ref="T42:U42"/>
    <mergeCell ref="A7:D8"/>
    <mergeCell ref="N25:O25"/>
    <mergeCell ref="N16:O16"/>
    <mergeCell ref="N34:O34"/>
    <mergeCell ref="W16:X16"/>
    <mergeCell ref="A26:D26"/>
    <mergeCell ref="W25:X25"/>
    <mergeCell ref="W34:X34"/>
    <mergeCell ref="K34:L34"/>
    <mergeCell ref="T34:U34"/>
    <mergeCell ref="Q34:R34"/>
    <mergeCell ref="H6:Z6"/>
    <mergeCell ref="A47:F49"/>
    <mergeCell ref="H7:I7"/>
    <mergeCell ref="H25:I25"/>
    <mergeCell ref="H34:I34"/>
    <mergeCell ref="H16:I16"/>
    <mergeCell ref="K7:L7"/>
    <mergeCell ref="N7:O7"/>
    <mergeCell ref="Q7:R7"/>
    <mergeCell ref="T7:U7"/>
    <mergeCell ref="Q16:R16"/>
    <mergeCell ref="T16:U16"/>
    <mergeCell ref="Q25:R25"/>
    <mergeCell ref="T25:U25"/>
    <mergeCell ref="K16:L16"/>
    <mergeCell ref="K25:L25"/>
  </mergeCells>
  <pageMargins left="0.7" right="0.7" top="0.75" bottom="0.75" header="0.3" footer="0.3"/>
  <pageSetup scale="49"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workbookViewId="0">
      <selection activeCell="G6" sqref="G6:I11"/>
    </sheetView>
  </sheetViews>
  <sheetFormatPr defaultRowHeight="15" x14ac:dyDescent="0.25"/>
  <cols>
    <col min="1" max="1" width="56.85546875" customWidth="1"/>
    <col min="2" max="2" width="2.7109375" customWidth="1"/>
    <col min="3" max="3" width="18" bestFit="1" customWidth="1"/>
    <col min="4" max="4" width="3.5703125" customWidth="1"/>
    <col min="5" max="5" width="17.28515625" customWidth="1"/>
    <col min="7" max="7" width="17.85546875" bestFit="1" customWidth="1"/>
    <col min="8" max="8" width="11.5703125" bestFit="1" customWidth="1"/>
    <col min="9" max="9" width="16.140625" bestFit="1" customWidth="1"/>
  </cols>
  <sheetData>
    <row r="1" spans="1:9" x14ac:dyDescent="0.25">
      <c r="A1" s="23" t="s">
        <v>81</v>
      </c>
    </row>
    <row r="2" spans="1:9" x14ac:dyDescent="0.25">
      <c r="A2" s="23" t="s">
        <v>134</v>
      </c>
    </row>
    <row r="3" spans="1:9" x14ac:dyDescent="0.25">
      <c r="A3" s="23" t="s">
        <v>127</v>
      </c>
    </row>
    <row r="5" spans="1:9" ht="40.5" customHeight="1" x14ac:dyDescent="0.25">
      <c r="A5" s="155" t="s">
        <v>128</v>
      </c>
      <c r="B5" s="153"/>
      <c r="C5" s="156" t="s">
        <v>59</v>
      </c>
      <c r="D5" s="152"/>
      <c r="E5" s="156" t="s">
        <v>60</v>
      </c>
      <c r="G5" s="156"/>
      <c r="H5" s="152"/>
      <c r="I5" s="156"/>
    </row>
    <row r="6" spans="1:9" x14ac:dyDescent="0.25">
      <c r="A6" s="150" t="s">
        <v>129</v>
      </c>
      <c r="B6" s="148"/>
      <c r="C6" s="102">
        <f>+'GERF Tiered Amortization'!I9-'GERF Tiered Amortization'!K9+'GERF Tiered Amortization'!L11</f>
        <v>156392.66666666669</v>
      </c>
      <c r="D6" s="102"/>
      <c r="E6" s="102">
        <f>-'GERF Tiered Amortization'!L10</f>
        <v>850228</v>
      </c>
      <c r="I6" s="25"/>
    </row>
    <row r="7" spans="1:9" x14ac:dyDescent="0.25">
      <c r="A7" s="150" t="s">
        <v>33</v>
      </c>
      <c r="B7" s="148"/>
      <c r="C7" s="102">
        <f>+'GERF Tiered Amortization'!I18-'GERF Tiered Amortization'!K18+'GERF Tiered Amortization'!L20</f>
        <v>1050224.6666666667</v>
      </c>
      <c r="D7" s="102"/>
      <c r="E7" s="102"/>
      <c r="G7" s="25"/>
    </row>
    <row r="8" spans="1:9" ht="30" x14ac:dyDescent="0.25">
      <c r="A8" s="151" t="s">
        <v>130</v>
      </c>
      <c r="B8" s="148"/>
      <c r="C8" s="102">
        <f>+'GERF Tiered Amortization'!L28</f>
        <v>1596429</v>
      </c>
      <c r="D8" s="102" t="s">
        <v>153</v>
      </c>
      <c r="E8" s="102">
        <f>-'GERF Tiered Amortization'!I27+'GERF Tiered Amortization'!K27-'GERF Tiered Amortization'!F29+'GERF Tiered Amortization'!K29</f>
        <v>3097629.75</v>
      </c>
      <c r="F8" t="s">
        <v>153</v>
      </c>
      <c r="I8" s="25"/>
    </row>
    <row r="9" spans="1:9" ht="45" x14ac:dyDescent="0.25">
      <c r="A9" s="151" t="s">
        <v>131</v>
      </c>
      <c r="B9" s="148"/>
      <c r="C9" s="102"/>
      <c r="D9" s="102"/>
      <c r="E9" s="102">
        <f>-'GERF Tiered Amortization'!$L$37</f>
        <v>1006360.9979999999</v>
      </c>
      <c r="G9" s="25"/>
    </row>
    <row r="10" spans="1:9" ht="30" x14ac:dyDescent="0.25">
      <c r="A10" s="142" t="s">
        <v>132</v>
      </c>
      <c r="C10" s="105">
        <v>1488293</v>
      </c>
      <c r="D10" s="102"/>
      <c r="E10" s="105"/>
    </row>
    <row r="11" spans="1:9" ht="15.75" thickBot="1" x14ac:dyDescent="0.3">
      <c r="A11" s="142" t="s">
        <v>133</v>
      </c>
      <c r="C11" s="154">
        <f>SUM(C6:C10)</f>
        <v>4291339.333333334</v>
      </c>
      <c r="D11" s="102"/>
      <c r="E11" s="154">
        <f>SUM(E6:E10)</f>
        <v>4954218.7479999997</v>
      </c>
    </row>
    <row r="12" spans="1:9" ht="123" customHeight="1" thickTop="1" x14ac:dyDescent="0.25">
      <c r="A12" s="187" t="s">
        <v>155</v>
      </c>
      <c r="B12" s="187"/>
      <c r="C12" s="187"/>
      <c r="D12" s="187"/>
      <c r="E12" s="187"/>
      <c r="G12" s="103"/>
      <c r="H12" s="103"/>
    </row>
    <row r="13" spans="1:9" x14ac:dyDescent="0.25">
      <c r="A13" s="142"/>
    </row>
    <row r="14" spans="1:9" ht="67.5" customHeight="1" x14ac:dyDescent="0.25">
      <c r="A14" s="187" t="s">
        <v>135</v>
      </c>
      <c r="B14" s="187"/>
      <c r="C14" s="187"/>
      <c r="D14" s="187"/>
      <c r="E14" s="187"/>
    </row>
    <row r="16" spans="1:9" x14ac:dyDescent="0.25">
      <c r="A16" s="157" t="s">
        <v>136</v>
      </c>
      <c r="C16" s="2" t="s">
        <v>137</v>
      </c>
    </row>
    <row r="17" spans="1:3" x14ac:dyDescent="0.25">
      <c r="A17" s="127">
        <v>2017</v>
      </c>
      <c r="C17" s="25">
        <f>+'GERF Tiered Amortization'!N43</f>
        <v>-648990.3326666666</v>
      </c>
    </row>
    <row r="18" spans="1:3" x14ac:dyDescent="0.25">
      <c r="A18">
        <v>2018</v>
      </c>
      <c r="C18" s="25">
        <f>+'GERF Tiered Amortization'!Q43</f>
        <v>-648990.3326666666</v>
      </c>
    </row>
    <row r="19" spans="1:3" x14ac:dyDescent="0.25">
      <c r="A19">
        <v>2019</v>
      </c>
      <c r="C19" s="25">
        <f>+'GERF Tiered Amortization'!T43</f>
        <v>-1252298.9993333332</v>
      </c>
    </row>
    <row r="20" spans="1:3" x14ac:dyDescent="0.25">
      <c r="A20">
        <v>2020</v>
      </c>
      <c r="C20" s="25">
        <f>+'GERF Tiered Amortization'!W43</f>
        <v>399107.25</v>
      </c>
    </row>
    <row r="21" spans="1:3" x14ac:dyDescent="0.25">
      <c r="A21">
        <v>2021</v>
      </c>
      <c r="C21" s="158">
        <v>0</v>
      </c>
    </row>
    <row r="22" spans="1:3" x14ac:dyDescent="0.25">
      <c r="A22" s="127" t="s">
        <v>36</v>
      </c>
      <c r="C22" s="158">
        <v>0</v>
      </c>
    </row>
  </sheetData>
  <mergeCells count="2">
    <mergeCell ref="A14:E14"/>
    <mergeCell ref="A12:E12"/>
  </mergeCells>
  <pageMargins left="0.7" right="0.7" top="0.75" bottom="0.75" header="0.3" footer="0.3"/>
  <pageSetup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GERF JEs</vt:lpstr>
      <vt:lpstr>Year 2 T-Accounts</vt:lpstr>
      <vt:lpstr>Change in Prop Calculation</vt:lpstr>
      <vt:lpstr>GERF Tiered Amortization</vt:lpstr>
      <vt:lpstr>Footnote Disclosure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Jim Riebe</cp:lastModifiedBy>
  <cp:lastPrinted>2016-09-16T19:56:08Z</cp:lastPrinted>
  <dcterms:created xsi:type="dcterms:W3CDTF">2016-01-29T17:52:12Z</dcterms:created>
  <dcterms:modified xsi:type="dcterms:W3CDTF">2016-09-27T17:49:32Z</dcterms:modified>
</cp:coreProperties>
</file>